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8_{44E4EED2-5555-4B4E-BEB1-C7847BD531D4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outputuri-dummy data" sheetId="1" r:id="rId1"/>
    <sheet name="Indicii prețurilor" sheetId="9" r:id="rId2"/>
    <sheet name="Muncă-dummy data" sheetId="2" r:id="rId3"/>
    <sheet name="Materiale-dummy data" sheetId="4" r:id="rId4"/>
    <sheet name="Capital angajat-dummy data" sheetId="8" r:id="rId5"/>
    <sheet name="Costul Capitalului-dummy data" sheetId="6" r:id="rId6"/>
    <sheet name="X&amp;Z Factor-dummy data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D12" i="2"/>
  <c r="D5" i="2"/>
  <c r="E5" i="2"/>
  <c r="F5" i="2"/>
  <c r="G5" i="2"/>
  <c r="H5" i="2"/>
  <c r="I5" i="2"/>
  <c r="C5" i="2"/>
  <c r="C60" i="5"/>
  <c r="C61" i="5"/>
  <c r="D13" i="5" l="1"/>
  <c r="C5" i="6"/>
  <c r="D5" i="6"/>
  <c r="E5" i="6"/>
  <c r="F5" i="6"/>
  <c r="G5" i="6"/>
  <c r="H5" i="6"/>
  <c r="I5" i="6"/>
  <c r="C6" i="6"/>
  <c r="D6" i="6"/>
  <c r="E6" i="6"/>
  <c r="F6" i="6"/>
  <c r="G6" i="6"/>
  <c r="H6" i="6"/>
  <c r="I6" i="6"/>
  <c r="C7" i="6"/>
  <c r="D7" i="6"/>
  <c r="E7" i="6"/>
  <c r="F7" i="6"/>
  <c r="G7" i="6"/>
  <c r="H7" i="6"/>
  <c r="I7" i="6"/>
  <c r="C8" i="6"/>
  <c r="D8" i="6"/>
  <c r="E8" i="6"/>
  <c r="F8" i="6"/>
  <c r="G8" i="6"/>
  <c r="H8" i="6"/>
  <c r="I8" i="6"/>
  <c r="D4" i="6"/>
  <c r="E4" i="6"/>
  <c r="F4" i="6"/>
  <c r="G4" i="6"/>
  <c r="H4" i="6"/>
  <c r="I4" i="6"/>
  <c r="C4" i="6"/>
  <c r="D20" i="8"/>
  <c r="C20" i="8"/>
  <c r="E20" i="8"/>
  <c r="F20" i="8"/>
  <c r="G20" i="8"/>
  <c r="H20" i="8"/>
  <c r="I20" i="8"/>
  <c r="F19" i="8"/>
  <c r="G19" i="8"/>
  <c r="H19" i="8"/>
  <c r="I19" i="8"/>
  <c r="E19" i="8"/>
  <c r="C18" i="8"/>
  <c r="D18" i="8"/>
  <c r="E18" i="8"/>
  <c r="F18" i="8"/>
  <c r="G18" i="8"/>
  <c r="H18" i="8"/>
  <c r="I18" i="8"/>
  <c r="D17" i="8"/>
  <c r="E17" i="8"/>
  <c r="F17" i="8"/>
  <c r="G17" i="8"/>
  <c r="H17" i="8"/>
  <c r="I17" i="8"/>
  <c r="C17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D11" i="8"/>
  <c r="E11" i="8"/>
  <c r="F11" i="8"/>
  <c r="G11" i="8"/>
  <c r="H11" i="8"/>
  <c r="I11" i="8"/>
  <c r="C11" i="8"/>
  <c r="D10" i="8"/>
  <c r="E10" i="8"/>
  <c r="F10" i="8"/>
  <c r="G10" i="8"/>
  <c r="H10" i="8"/>
  <c r="I10" i="8"/>
  <c r="C10" i="8"/>
  <c r="C5" i="8"/>
  <c r="D5" i="8"/>
  <c r="E5" i="8"/>
  <c r="F5" i="8"/>
  <c r="G5" i="8"/>
  <c r="H5" i="8"/>
  <c r="I5" i="8"/>
  <c r="C6" i="8"/>
  <c r="D6" i="8"/>
  <c r="E6" i="8"/>
  <c r="F6" i="8"/>
  <c r="G6" i="8"/>
  <c r="H6" i="8"/>
  <c r="I6" i="8"/>
  <c r="D4" i="8"/>
  <c r="E4" i="8"/>
  <c r="F4" i="8"/>
  <c r="G4" i="8"/>
  <c r="H4" i="8"/>
  <c r="I4" i="8"/>
  <c r="C4" i="8"/>
  <c r="D32" i="4"/>
  <c r="E12" i="2"/>
  <c r="E11" i="2"/>
  <c r="D11" i="2"/>
  <c r="D8" i="2"/>
  <c r="D4" i="4"/>
  <c r="E4" i="4"/>
  <c r="F4" i="4"/>
  <c r="G4" i="4"/>
  <c r="H4" i="4"/>
  <c r="I4" i="4"/>
  <c r="D5" i="4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C5" i="4"/>
  <c r="C6" i="4"/>
  <c r="C7" i="4"/>
  <c r="C8" i="4"/>
  <c r="C9" i="4"/>
  <c r="C70" i="1" s="1"/>
  <c r="C10" i="4"/>
  <c r="C11" i="4"/>
  <c r="C12" i="4"/>
  <c r="C13" i="4"/>
  <c r="C14" i="4"/>
  <c r="C15" i="4"/>
  <c r="C16" i="4"/>
  <c r="C17" i="4"/>
  <c r="C18" i="4"/>
  <c r="C19" i="4"/>
  <c r="C20" i="4"/>
  <c r="C21" i="4"/>
  <c r="C4" i="4"/>
  <c r="F57" i="1"/>
  <c r="F48" i="1"/>
  <c r="C23" i="4" l="1"/>
  <c r="D47" i="1"/>
  <c r="C51" i="4" l="1"/>
  <c r="C75" i="4"/>
  <c r="I14" i="1"/>
  <c r="I15" i="1" s="1"/>
  <c r="H14" i="1"/>
  <c r="H15" i="1" s="1"/>
  <c r="G14" i="1"/>
  <c r="G15" i="1" s="1"/>
  <c r="F14" i="1"/>
  <c r="E14" i="1"/>
  <c r="E15" i="1" s="1"/>
  <c r="D14" i="1"/>
  <c r="C14" i="1"/>
  <c r="C15" i="1"/>
  <c r="D15" i="1"/>
  <c r="F15" i="1"/>
  <c r="D43" i="9" l="1"/>
  <c r="C43" i="9"/>
  <c r="I7" i="8"/>
  <c r="H7" i="8"/>
  <c r="G7" i="8"/>
  <c r="F7" i="8"/>
  <c r="E7" i="8"/>
  <c r="D7" i="8"/>
  <c r="C7" i="8"/>
  <c r="H23" i="4"/>
  <c r="G23" i="4"/>
  <c r="C67" i="4" l="1"/>
  <c r="G67" i="4"/>
  <c r="H67" i="4"/>
  <c r="C64" i="5" l="1"/>
  <c r="I20" i="6"/>
  <c r="C21" i="8" l="1"/>
  <c r="D21" i="8" l="1"/>
  <c r="D14" i="8"/>
  <c r="G21" i="8" l="1"/>
  <c r="E21" i="8"/>
  <c r="G14" i="8" l="1"/>
  <c r="G24" i="8" l="1"/>
  <c r="I23" i="4" l="1"/>
  <c r="I67" i="4" s="1"/>
  <c r="H20" i="6" l="1"/>
  <c r="C44" i="9" l="1"/>
  <c r="D44" i="9" s="1"/>
  <c r="C45" i="9"/>
  <c r="I52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8" i="4" l="1"/>
  <c r="D51" i="1" l="1"/>
  <c r="D70" i="1" l="1"/>
  <c r="E70" i="1"/>
  <c r="F70" i="1"/>
  <c r="G70" i="1"/>
  <c r="H70" i="1"/>
  <c r="I70" i="1"/>
  <c r="C8" i="9"/>
  <c r="E8" i="9" l="1"/>
  <c r="G8" i="9"/>
  <c r="H8" i="9"/>
  <c r="I8" i="9"/>
  <c r="F8" i="9"/>
  <c r="D8" i="9"/>
  <c r="I31" i="5"/>
  <c r="H31" i="5"/>
  <c r="G31" i="5"/>
  <c r="F31" i="5"/>
  <c r="E31" i="5"/>
  <c r="D31" i="5"/>
  <c r="C31" i="5"/>
  <c r="D45" i="9"/>
  <c r="E45" i="9" s="1"/>
  <c r="F45" i="9" s="1"/>
  <c r="G45" i="9" s="1"/>
  <c r="H45" i="9" s="1"/>
  <c r="I45" i="9" s="1"/>
  <c r="C37" i="5" l="1"/>
  <c r="D27" i="8"/>
  <c r="E27" i="8"/>
  <c r="F27" i="8"/>
  <c r="G27" i="8"/>
  <c r="H27" i="8"/>
  <c r="I27" i="8"/>
  <c r="C27" i="8"/>
  <c r="E43" i="9" l="1"/>
  <c r="F43" i="9" s="1"/>
  <c r="G43" i="9" s="1"/>
  <c r="H43" i="9" s="1"/>
  <c r="I43" i="9" s="1"/>
  <c r="D20" i="6"/>
  <c r="E20" i="6"/>
  <c r="F20" i="6"/>
  <c r="G20" i="6"/>
  <c r="C20" i="6"/>
  <c r="E44" i="9" l="1"/>
  <c r="F44" i="9" l="1"/>
  <c r="I8" i="2" l="1"/>
  <c r="I22" i="4"/>
  <c r="G44" i="9"/>
  <c r="H44" i="9" l="1"/>
  <c r="C26" i="9"/>
  <c r="D26" i="9" s="1"/>
  <c r="C27" i="9"/>
  <c r="C33" i="4" s="1"/>
  <c r="C28" i="9"/>
  <c r="D28" i="9" s="1"/>
  <c r="E28" i="9" s="1"/>
  <c r="F28" i="9" s="1"/>
  <c r="G28" i="9" s="1"/>
  <c r="H28" i="9" s="1"/>
  <c r="I28" i="9" s="1"/>
  <c r="I34" i="4" s="1"/>
  <c r="C29" i="9"/>
  <c r="D29" i="9" s="1"/>
  <c r="E29" i="9" s="1"/>
  <c r="F29" i="9" s="1"/>
  <c r="G29" i="9" s="1"/>
  <c r="H29" i="9" s="1"/>
  <c r="I29" i="9" s="1"/>
  <c r="I35" i="4" s="1"/>
  <c r="C30" i="9"/>
  <c r="D30" i="9" s="1"/>
  <c r="E30" i="9" s="1"/>
  <c r="F30" i="9" s="1"/>
  <c r="G30" i="9" s="1"/>
  <c r="H30" i="9" s="1"/>
  <c r="I30" i="9" s="1"/>
  <c r="I36" i="4" s="1"/>
  <c r="C31" i="9"/>
  <c r="C37" i="4" s="1"/>
  <c r="C32" i="9"/>
  <c r="D32" i="9" s="1"/>
  <c r="E32" i="9" s="1"/>
  <c r="F32" i="9" s="1"/>
  <c r="G32" i="9" s="1"/>
  <c r="H32" i="9" s="1"/>
  <c r="I32" i="9" s="1"/>
  <c r="I38" i="4" s="1"/>
  <c r="C33" i="9"/>
  <c r="D33" i="9" s="1"/>
  <c r="E33" i="9" s="1"/>
  <c r="F33" i="9" s="1"/>
  <c r="G33" i="9" s="1"/>
  <c r="H33" i="9" s="1"/>
  <c r="I33" i="9" s="1"/>
  <c r="I39" i="4" s="1"/>
  <c r="C34" i="9"/>
  <c r="D34" i="9" s="1"/>
  <c r="E34" i="9" s="1"/>
  <c r="F34" i="9" s="1"/>
  <c r="G34" i="9" s="1"/>
  <c r="H34" i="9" s="1"/>
  <c r="I34" i="9" s="1"/>
  <c r="I40" i="4" s="1"/>
  <c r="C35" i="9"/>
  <c r="C41" i="4" s="1"/>
  <c r="C36" i="9"/>
  <c r="D36" i="9" s="1"/>
  <c r="E36" i="9" s="1"/>
  <c r="F36" i="9" s="1"/>
  <c r="G36" i="9" s="1"/>
  <c r="H36" i="9" s="1"/>
  <c r="I36" i="9" s="1"/>
  <c r="I42" i="4" s="1"/>
  <c r="C37" i="9"/>
  <c r="D37" i="9" s="1"/>
  <c r="E37" i="9" s="1"/>
  <c r="F37" i="9" s="1"/>
  <c r="G37" i="9" s="1"/>
  <c r="H37" i="9" s="1"/>
  <c r="I37" i="9" s="1"/>
  <c r="I43" i="4" s="1"/>
  <c r="C38" i="9"/>
  <c r="D38" i="9" s="1"/>
  <c r="E38" i="9" s="1"/>
  <c r="F38" i="9" s="1"/>
  <c r="G38" i="9" s="1"/>
  <c r="C39" i="9"/>
  <c r="C45" i="4" s="1"/>
  <c r="C40" i="9"/>
  <c r="D40" i="9" s="1"/>
  <c r="E40" i="9" s="1"/>
  <c r="F40" i="9" s="1"/>
  <c r="G40" i="9" s="1"/>
  <c r="H40" i="9" s="1"/>
  <c r="I40" i="9" s="1"/>
  <c r="I46" i="4" s="1"/>
  <c r="C41" i="9"/>
  <c r="D41" i="9" s="1"/>
  <c r="E41" i="9" s="1"/>
  <c r="F41" i="9" s="1"/>
  <c r="G41" i="9" s="1"/>
  <c r="H41" i="9" s="1"/>
  <c r="I41" i="9" s="1"/>
  <c r="I47" i="4" s="1"/>
  <c r="C42" i="9"/>
  <c r="D42" i="9" s="1"/>
  <c r="E42" i="9" s="1"/>
  <c r="F42" i="9" s="1"/>
  <c r="G42" i="9" s="1"/>
  <c r="H42" i="9" s="1"/>
  <c r="I42" i="9" s="1"/>
  <c r="I48" i="4" s="1"/>
  <c r="D27" i="9"/>
  <c r="E27" i="9" s="1"/>
  <c r="F27" i="9" s="1"/>
  <c r="G27" i="9" s="1"/>
  <c r="H27" i="9" s="1"/>
  <c r="I27" i="9" s="1"/>
  <c r="I33" i="4" s="1"/>
  <c r="E26" i="9" l="1"/>
  <c r="F26" i="9" s="1"/>
  <c r="H38" i="9"/>
  <c r="I38" i="9" s="1"/>
  <c r="I44" i="4" s="1"/>
  <c r="G43" i="4"/>
  <c r="F42" i="4"/>
  <c r="H39" i="4"/>
  <c r="G38" i="4"/>
  <c r="E36" i="4"/>
  <c r="C35" i="4"/>
  <c r="D47" i="4"/>
  <c r="I44" i="9"/>
  <c r="C46" i="4"/>
  <c r="E48" i="4"/>
  <c r="C47" i="4"/>
  <c r="D43" i="4"/>
  <c r="C42" i="4"/>
  <c r="G39" i="4"/>
  <c r="F38" i="4"/>
  <c r="H35" i="4"/>
  <c r="G34" i="4"/>
  <c r="H47" i="4"/>
  <c r="G46" i="4"/>
  <c r="E44" i="4"/>
  <c r="C43" i="4"/>
  <c r="D39" i="4"/>
  <c r="C38" i="4"/>
  <c r="G35" i="4"/>
  <c r="F34" i="4"/>
  <c r="G47" i="4"/>
  <c r="F46" i="4"/>
  <c r="H43" i="4"/>
  <c r="G42" i="4"/>
  <c r="E40" i="4"/>
  <c r="C39" i="4"/>
  <c r="D35" i="4"/>
  <c r="C34" i="4"/>
  <c r="F33" i="4"/>
  <c r="D39" i="9"/>
  <c r="H48" i="4"/>
  <c r="D48" i="4"/>
  <c r="H44" i="4"/>
  <c r="H40" i="4"/>
  <c r="D40" i="4"/>
  <c r="H36" i="4"/>
  <c r="D36" i="4"/>
  <c r="E32" i="4"/>
  <c r="G48" i="4"/>
  <c r="C48" i="4"/>
  <c r="F47" i="4"/>
  <c r="E46" i="4"/>
  <c r="G44" i="4"/>
  <c r="C44" i="4"/>
  <c r="F43" i="4"/>
  <c r="E42" i="4"/>
  <c r="G40" i="4"/>
  <c r="C40" i="4"/>
  <c r="F39" i="4"/>
  <c r="E38" i="4"/>
  <c r="G36" i="4"/>
  <c r="C36" i="4"/>
  <c r="F35" i="4"/>
  <c r="E34" i="4"/>
  <c r="H33" i="4"/>
  <c r="D33" i="4"/>
  <c r="D44" i="4"/>
  <c r="E33" i="4"/>
  <c r="D35" i="9"/>
  <c r="D31" i="9"/>
  <c r="F48" i="4"/>
  <c r="E47" i="4"/>
  <c r="H46" i="4"/>
  <c r="D46" i="4"/>
  <c r="F44" i="4"/>
  <c r="E43" i="4"/>
  <c r="H42" i="4"/>
  <c r="D42" i="4"/>
  <c r="F40" i="4"/>
  <c r="E39" i="4"/>
  <c r="H38" i="4"/>
  <c r="D38" i="4"/>
  <c r="F36" i="4"/>
  <c r="E35" i="4"/>
  <c r="H34" i="4"/>
  <c r="D34" i="4"/>
  <c r="G33" i="4"/>
  <c r="G26" i="9" l="1"/>
  <c r="F32" i="4"/>
  <c r="E35" i="9"/>
  <c r="D41" i="4"/>
  <c r="E31" i="9"/>
  <c r="D37" i="4"/>
  <c r="E39" i="9"/>
  <c r="D45" i="4"/>
  <c r="E14" i="8"/>
  <c r="F14" i="8"/>
  <c r="H14" i="8"/>
  <c r="I14" i="8"/>
  <c r="C14" i="8"/>
  <c r="C24" i="8" s="1"/>
  <c r="F21" i="8"/>
  <c r="H21" i="8"/>
  <c r="I21" i="8"/>
  <c r="H26" i="9" l="1"/>
  <c r="G32" i="4"/>
  <c r="F31" i="9"/>
  <c r="E37" i="4"/>
  <c r="F39" i="9"/>
  <c r="E45" i="4"/>
  <c r="F35" i="9"/>
  <c r="E41" i="4"/>
  <c r="I26" i="9" l="1"/>
  <c r="I32" i="4" s="1"/>
  <c r="H32" i="4"/>
  <c r="G39" i="9"/>
  <c r="F45" i="4"/>
  <c r="G35" i="9"/>
  <c r="F41" i="4"/>
  <c r="G31" i="9"/>
  <c r="F37" i="4"/>
  <c r="H35" i="9" l="1"/>
  <c r="G41" i="4"/>
  <c r="H31" i="9"/>
  <c r="G37" i="4"/>
  <c r="H39" i="9"/>
  <c r="G45" i="4"/>
  <c r="I31" i="9" l="1"/>
  <c r="I37" i="4" s="1"/>
  <c r="H37" i="4"/>
  <c r="I39" i="9"/>
  <c r="I45" i="4" s="1"/>
  <c r="H45" i="4"/>
  <c r="I35" i="9"/>
  <c r="I41" i="4" s="1"/>
  <c r="H41" i="4"/>
  <c r="I72" i="4" l="1"/>
  <c r="I28" i="4"/>
  <c r="D48" i="1"/>
  <c r="E48" i="1"/>
  <c r="G48" i="1"/>
  <c r="H48" i="1"/>
  <c r="I48" i="1"/>
  <c r="D49" i="1"/>
  <c r="E49" i="1"/>
  <c r="F49" i="1"/>
  <c r="G49" i="1"/>
  <c r="H49" i="1"/>
  <c r="I49" i="1"/>
  <c r="D50" i="1"/>
  <c r="E50" i="1"/>
  <c r="F50" i="1"/>
  <c r="G50" i="1"/>
  <c r="H50" i="1"/>
  <c r="I50" i="1"/>
  <c r="E51" i="1"/>
  <c r="F51" i="1"/>
  <c r="G51" i="1"/>
  <c r="H51" i="1"/>
  <c r="I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D57" i="1"/>
  <c r="E57" i="1"/>
  <c r="G57" i="1"/>
  <c r="H57" i="1"/>
  <c r="I57" i="1"/>
  <c r="E47" i="1"/>
  <c r="F47" i="1"/>
  <c r="G47" i="1"/>
  <c r="H47" i="1"/>
  <c r="I47" i="1"/>
  <c r="C43" i="1"/>
  <c r="D43" i="1"/>
  <c r="E43" i="1"/>
  <c r="F43" i="1"/>
  <c r="G43" i="1"/>
  <c r="H43" i="1"/>
  <c r="I43" i="1"/>
  <c r="C18" i="1" l="1"/>
  <c r="D19" i="1"/>
  <c r="D26" i="1"/>
  <c r="D27" i="1"/>
  <c r="D28" i="1"/>
  <c r="D22" i="1"/>
  <c r="D23" i="1"/>
  <c r="D24" i="1"/>
  <c r="D20" i="1"/>
  <c r="D25" i="1"/>
  <c r="D21" i="1"/>
  <c r="D18" i="1"/>
  <c r="E61" i="1" s="1"/>
  <c r="C28" i="1"/>
  <c r="C25" i="1"/>
  <c r="C27" i="1"/>
  <c r="C26" i="1"/>
  <c r="C24" i="1"/>
  <c r="C22" i="1"/>
  <c r="C20" i="1"/>
  <c r="C23" i="1"/>
  <c r="C21" i="1"/>
  <c r="C19" i="1"/>
  <c r="D61" i="1" l="1"/>
  <c r="D62" i="1"/>
  <c r="D63" i="1" l="1"/>
  <c r="D64" i="1" s="1"/>
  <c r="D65" i="1" l="1"/>
  <c r="D46" i="5"/>
  <c r="C46" i="5"/>
  <c r="C36" i="5"/>
  <c r="C26" i="5"/>
  <c r="I24" i="8"/>
  <c r="I27" i="4"/>
  <c r="H27" i="4"/>
  <c r="G27" i="4"/>
  <c r="F27" i="4"/>
  <c r="D27" i="4"/>
  <c r="C27" i="4"/>
  <c r="F23" i="4"/>
  <c r="E23" i="4"/>
  <c r="D23" i="4"/>
  <c r="I11" i="2"/>
  <c r="H11" i="2"/>
  <c r="H13" i="5" s="1"/>
  <c r="G11" i="2"/>
  <c r="G13" i="5" s="1"/>
  <c r="F11" i="2"/>
  <c r="F13" i="5" s="1"/>
  <c r="E13" i="5"/>
  <c r="C11" i="2"/>
  <c r="C13" i="5" s="1"/>
  <c r="G8" i="2"/>
  <c r="F8" i="2"/>
  <c r="E8" i="2"/>
  <c r="E66" i="4" l="1"/>
  <c r="E67" i="4"/>
  <c r="F66" i="4"/>
  <c r="F67" i="4"/>
  <c r="D66" i="4"/>
  <c r="D67" i="4"/>
  <c r="C8" i="2"/>
  <c r="D9" i="2" s="1"/>
  <c r="C22" i="4"/>
  <c r="I13" i="5"/>
  <c r="H8" i="2"/>
  <c r="H22" i="4"/>
  <c r="D66" i="1"/>
  <c r="H30" i="8"/>
  <c r="G31" i="8"/>
  <c r="I30" i="8"/>
  <c r="H31" i="8"/>
  <c r="I31" i="8"/>
  <c r="C35" i="8"/>
  <c r="C36" i="8" s="1"/>
  <c r="D30" i="8"/>
  <c r="G11" i="6"/>
  <c r="H24" i="8"/>
  <c r="H11" i="6" s="1"/>
  <c r="C32" i="4"/>
  <c r="D47" i="5"/>
  <c r="C11" i="6"/>
  <c r="C18" i="6" s="1"/>
  <c r="C6" i="5" s="1"/>
  <c r="H4" i="5"/>
  <c r="G4" i="5"/>
  <c r="D4" i="5"/>
  <c r="F4" i="5"/>
  <c r="E4" i="5"/>
  <c r="G28" i="4"/>
  <c r="G66" i="4"/>
  <c r="C28" i="4"/>
  <c r="C66" i="4"/>
  <c r="H28" i="4"/>
  <c r="H66" i="4"/>
  <c r="H65" i="4"/>
  <c r="H62" i="4"/>
  <c r="H63" i="4"/>
  <c r="H64" i="4"/>
  <c r="F54" i="4"/>
  <c r="F28" i="4"/>
  <c r="D54" i="4"/>
  <c r="D28" i="4"/>
  <c r="E54" i="4"/>
  <c r="E28" i="4"/>
  <c r="H12" i="2"/>
  <c r="F12" i="2"/>
  <c r="H26" i="1"/>
  <c r="H23" i="1"/>
  <c r="H21" i="1"/>
  <c r="I26" i="1"/>
  <c r="E21" i="1"/>
  <c r="H25" i="1"/>
  <c r="H18" i="1"/>
  <c r="I25" i="1"/>
  <c r="I21" i="1"/>
  <c r="F25" i="1"/>
  <c r="H27" i="1"/>
  <c r="H22" i="1"/>
  <c r="I28" i="1"/>
  <c r="I20" i="1"/>
  <c r="F23" i="1"/>
  <c r="F21" i="1"/>
  <c r="G25" i="1"/>
  <c r="H28" i="1"/>
  <c r="H24" i="1"/>
  <c r="H20" i="1"/>
  <c r="I24" i="1"/>
  <c r="E25" i="1"/>
  <c r="F27" i="1"/>
  <c r="F19" i="1"/>
  <c r="G21" i="1"/>
  <c r="H19" i="1"/>
  <c r="E26" i="1"/>
  <c r="E22" i="1"/>
  <c r="E18" i="1"/>
  <c r="F28" i="1"/>
  <c r="F24" i="1"/>
  <c r="F20" i="1"/>
  <c r="G26" i="1"/>
  <c r="G22" i="1"/>
  <c r="G18" i="1"/>
  <c r="E28" i="1"/>
  <c r="E24" i="1"/>
  <c r="E20" i="1"/>
  <c r="F26" i="1"/>
  <c r="F22" i="1"/>
  <c r="F18" i="1"/>
  <c r="G28" i="1"/>
  <c r="G24" i="1"/>
  <c r="G20" i="1"/>
  <c r="E27" i="1"/>
  <c r="E23" i="1"/>
  <c r="E19" i="1"/>
  <c r="G27" i="1"/>
  <c r="G23" i="1"/>
  <c r="G19" i="1"/>
  <c r="I5" i="5"/>
  <c r="I22" i="1"/>
  <c r="I18" i="1"/>
  <c r="C5" i="5"/>
  <c r="C76" i="4"/>
  <c r="C14" i="5" s="1"/>
  <c r="G5" i="5"/>
  <c r="G53" i="4"/>
  <c r="G57" i="4"/>
  <c r="G61" i="4"/>
  <c r="G65" i="4"/>
  <c r="G54" i="4"/>
  <c r="G58" i="4"/>
  <c r="G62" i="4"/>
  <c r="G51" i="4"/>
  <c r="G55" i="4"/>
  <c r="G59" i="4"/>
  <c r="G63" i="4"/>
  <c r="G52" i="4"/>
  <c r="G56" i="4"/>
  <c r="G60" i="4"/>
  <c r="F22" i="4"/>
  <c r="F26" i="4"/>
  <c r="C65" i="4"/>
  <c r="C61" i="4"/>
  <c r="C57" i="4"/>
  <c r="C53" i="4"/>
  <c r="D62" i="4"/>
  <c r="D58" i="4"/>
  <c r="E63" i="4"/>
  <c r="E59" i="4"/>
  <c r="E55" i="4"/>
  <c r="E51" i="4"/>
  <c r="F64" i="4"/>
  <c r="F60" i="4"/>
  <c r="F56" i="4"/>
  <c r="F52" i="4"/>
  <c r="G64" i="4"/>
  <c r="D5" i="5"/>
  <c r="H5" i="5"/>
  <c r="H54" i="4"/>
  <c r="H58" i="4"/>
  <c r="H51" i="4"/>
  <c r="H55" i="4"/>
  <c r="H59" i="4"/>
  <c r="H52" i="4"/>
  <c r="H56" i="4"/>
  <c r="H60" i="4"/>
  <c r="H53" i="4"/>
  <c r="H57" i="4"/>
  <c r="H61" i="4"/>
  <c r="G22" i="4"/>
  <c r="C26" i="4"/>
  <c r="G26" i="4"/>
  <c r="C64" i="4"/>
  <c r="C60" i="4"/>
  <c r="C56" i="4"/>
  <c r="C52" i="4"/>
  <c r="D65" i="4"/>
  <c r="D61" i="4"/>
  <c r="D57" i="4"/>
  <c r="D53" i="4"/>
  <c r="E62" i="4"/>
  <c r="E58" i="4"/>
  <c r="F63" i="4"/>
  <c r="F59" i="4"/>
  <c r="F55" i="4"/>
  <c r="F51" i="4"/>
  <c r="E5" i="5"/>
  <c r="D22" i="4"/>
  <c r="D26" i="4"/>
  <c r="E27" i="4"/>
  <c r="H26" i="4"/>
  <c r="C63" i="4"/>
  <c r="C59" i="4"/>
  <c r="C55" i="4"/>
  <c r="D64" i="4"/>
  <c r="D60" i="4"/>
  <c r="D56" i="4"/>
  <c r="D52" i="4"/>
  <c r="E65" i="4"/>
  <c r="E61" i="4"/>
  <c r="E57" i="4"/>
  <c r="E53" i="4"/>
  <c r="F62" i="4"/>
  <c r="F58" i="4"/>
  <c r="I27" i="1"/>
  <c r="I23" i="1"/>
  <c r="I19" i="1"/>
  <c r="I4" i="5"/>
  <c r="G12" i="2"/>
  <c r="F5" i="5"/>
  <c r="E22" i="4"/>
  <c r="E26" i="4"/>
  <c r="I26" i="4"/>
  <c r="C62" i="4"/>
  <c r="C58" i="4"/>
  <c r="C54" i="4"/>
  <c r="D63" i="4"/>
  <c r="D59" i="4"/>
  <c r="D55" i="4"/>
  <c r="D51" i="4"/>
  <c r="E64" i="4"/>
  <c r="E60" i="4"/>
  <c r="E56" i="4"/>
  <c r="E52" i="4"/>
  <c r="F65" i="4"/>
  <c r="F61" i="4"/>
  <c r="F57" i="4"/>
  <c r="F53" i="4"/>
  <c r="E46" i="5"/>
  <c r="E47" i="5" s="1"/>
  <c r="H29" i="4" l="1"/>
  <c r="D71" i="4"/>
  <c r="C29" i="4"/>
  <c r="E29" i="4"/>
  <c r="I61" i="1"/>
  <c r="E62" i="1"/>
  <c r="I71" i="4"/>
  <c r="I73" i="4" s="1"/>
  <c r="G18" i="6"/>
  <c r="G6" i="5" s="1"/>
  <c r="H18" i="6"/>
  <c r="D29" i="4"/>
  <c r="H61" i="1"/>
  <c r="G62" i="1"/>
  <c r="G63" i="1" s="1"/>
  <c r="H62" i="1"/>
  <c r="G61" i="1"/>
  <c r="F62" i="1"/>
  <c r="I62" i="1"/>
  <c r="F61" i="1"/>
  <c r="C15" i="5"/>
  <c r="I11" i="6"/>
  <c r="I32" i="8"/>
  <c r="H32" i="8"/>
  <c r="C4" i="5"/>
  <c r="C7" i="5" s="1"/>
  <c r="I9" i="6"/>
  <c r="I15" i="6" s="1"/>
  <c r="I16" i="6" s="1"/>
  <c r="H9" i="6"/>
  <c r="I29" i="4"/>
  <c r="H29" i="1"/>
  <c r="D68" i="4"/>
  <c r="C68" i="4"/>
  <c r="I29" i="1"/>
  <c r="F9" i="6"/>
  <c r="D9" i="6"/>
  <c r="E9" i="6"/>
  <c r="E29" i="1"/>
  <c r="C9" i="2"/>
  <c r="C35" i="5" s="1"/>
  <c r="F9" i="2"/>
  <c r="G68" i="4"/>
  <c r="F46" i="5"/>
  <c r="F47" i="5" s="1"/>
  <c r="H68" i="4"/>
  <c r="E68" i="4"/>
  <c r="F29" i="4"/>
  <c r="D72" i="4"/>
  <c r="F29" i="1"/>
  <c r="G9" i="6"/>
  <c r="C9" i="6"/>
  <c r="G29" i="1"/>
  <c r="F68" i="4"/>
  <c r="G29" i="4"/>
  <c r="F63" i="1" l="1"/>
  <c r="E63" i="1"/>
  <c r="E64" i="1" s="1"/>
  <c r="E65" i="1" s="1"/>
  <c r="I18" i="6"/>
  <c r="I6" i="5" s="1"/>
  <c r="H10" i="6"/>
  <c r="H12" i="6" s="1"/>
  <c r="H15" i="6"/>
  <c r="H16" i="6" s="1"/>
  <c r="H19" i="6" s="1"/>
  <c r="H6" i="5"/>
  <c r="H7" i="5" s="1"/>
  <c r="H8" i="5" s="1"/>
  <c r="I10" i="6"/>
  <c r="I12" i="6" s="1"/>
  <c r="H9" i="2"/>
  <c r="H35" i="5" s="1"/>
  <c r="E9" i="2"/>
  <c r="E10" i="2" s="1"/>
  <c r="D35" i="5"/>
  <c r="D10" i="2"/>
  <c r="G46" i="5"/>
  <c r="G47" i="5" s="1"/>
  <c r="G9" i="2"/>
  <c r="E71" i="4"/>
  <c r="G15" i="6"/>
  <c r="G16" i="6" s="1"/>
  <c r="G19" i="6" s="1"/>
  <c r="G10" i="6"/>
  <c r="G12" i="6" s="1"/>
  <c r="C10" i="6"/>
  <c r="C12" i="6" s="1"/>
  <c r="C15" i="6"/>
  <c r="C16" i="6" s="1"/>
  <c r="C19" i="6" s="1"/>
  <c r="F35" i="5"/>
  <c r="D10" i="6"/>
  <c r="D15" i="6"/>
  <c r="D16" i="6" s="1"/>
  <c r="I9" i="2"/>
  <c r="E15" i="6"/>
  <c r="E16" i="6" s="1"/>
  <c r="E10" i="6"/>
  <c r="F10" i="6"/>
  <c r="F15" i="6"/>
  <c r="F16" i="6" s="1"/>
  <c r="D73" i="4" l="1"/>
  <c r="D74" i="4" s="1"/>
  <c r="I19" i="6"/>
  <c r="E72" i="4"/>
  <c r="E73" i="4" s="1"/>
  <c r="F10" i="2"/>
  <c r="E35" i="5"/>
  <c r="H10" i="2"/>
  <c r="F72" i="4"/>
  <c r="G35" i="5"/>
  <c r="G10" i="2"/>
  <c r="I35" i="5"/>
  <c r="I10" i="2"/>
  <c r="H46" i="5"/>
  <c r="H47" i="5" s="1"/>
  <c r="I46" i="5"/>
  <c r="I47" i="5" s="1"/>
  <c r="D36" i="5" l="1"/>
  <c r="D75" i="4"/>
  <c r="D76" i="4" s="1"/>
  <c r="D77" i="4" s="1"/>
  <c r="E74" i="4"/>
  <c r="E36" i="5" s="1"/>
  <c r="D25" i="5"/>
  <c r="G71" i="4"/>
  <c r="F71" i="4"/>
  <c r="F73" i="4" s="1"/>
  <c r="F74" i="4" s="1"/>
  <c r="C8" i="5"/>
  <c r="C9" i="5" s="1"/>
  <c r="C11" i="5"/>
  <c r="C33" i="5" s="1"/>
  <c r="C10" i="5"/>
  <c r="F64" i="1"/>
  <c r="C12" i="5"/>
  <c r="C34" i="5" s="1"/>
  <c r="E25" i="5"/>
  <c r="E75" i="4" l="1"/>
  <c r="E76" i="4" s="1"/>
  <c r="E77" i="4" s="1"/>
  <c r="D14" i="5"/>
  <c r="G72" i="4"/>
  <c r="G73" i="4" s="1"/>
  <c r="G74" i="4" s="1"/>
  <c r="C32" i="5"/>
  <c r="E66" i="1"/>
  <c r="F65" i="1"/>
  <c r="H71" i="4"/>
  <c r="F75" i="4"/>
  <c r="F76" i="4" s="1"/>
  <c r="F36" i="5"/>
  <c r="E14" i="5" l="1"/>
  <c r="F25" i="5"/>
  <c r="F66" i="1"/>
  <c r="G36" i="5"/>
  <c r="G75" i="4"/>
  <c r="G76" i="4" s="1"/>
  <c r="H72" i="4"/>
  <c r="H73" i="4" s="1"/>
  <c r="H74" i="4" s="1"/>
  <c r="I74" i="4" s="1"/>
  <c r="I75" i="4" s="1"/>
  <c r="I76" i="4" s="1"/>
  <c r="G64" i="1"/>
  <c r="F14" i="5"/>
  <c r="F77" i="4"/>
  <c r="H63" i="1" l="1"/>
  <c r="H64" i="1" s="1"/>
  <c r="H75" i="4"/>
  <c r="H76" i="4" s="1"/>
  <c r="H36" i="5"/>
  <c r="G65" i="1"/>
  <c r="G77" i="4"/>
  <c r="G14" i="5"/>
  <c r="G25" i="5" l="1"/>
  <c r="G66" i="1"/>
  <c r="I36" i="5"/>
  <c r="H65" i="1"/>
  <c r="H25" i="5" s="1"/>
  <c r="H14" i="5"/>
  <c r="H77" i="4"/>
  <c r="H66" i="1" l="1"/>
  <c r="I63" i="1"/>
  <c r="I64" i="1" s="1"/>
  <c r="I65" i="1" s="1"/>
  <c r="I66" i="1" s="1"/>
  <c r="I77" i="4"/>
  <c r="I14" i="5"/>
  <c r="I25" i="5" l="1"/>
  <c r="G7" i="5"/>
  <c r="G12" i="5" s="1"/>
  <c r="G34" i="5" s="1"/>
  <c r="H12" i="5" l="1"/>
  <c r="H34" i="5" s="1"/>
  <c r="G8" i="5"/>
  <c r="G9" i="5" s="1"/>
  <c r="G10" i="5"/>
  <c r="G11" i="5"/>
  <c r="G33" i="5" s="1"/>
  <c r="I7" i="5" l="1"/>
  <c r="I12" i="5" s="1"/>
  <c r="I34" i="5" s="1"/>
  <c r="G32" i="5"/>
  <c r="H9" i="5"/>
  <c r="H10" i="5"/>
  <c r="H11" i="5"/>
  <c r="H33" i="5" s="1"/>
  <c r="H32" i="5" l="1"/>
  <c r="I8" i="5"/>
  <c r="I9" i="5" s="1"/>
  <c r="I10" i="5"/>
  <c r="I11" i="5"/>
  <c r="I33" i="5" s="1"/>
  <c r="I32" i="5" l="1"/>
  <c r="F31" i="8"/>
  <c r="F24" i="8"/>
  <c r="F11" i="6" s="1"/>
  <c r="F18" i="6" s="1"/>
  <c r="G30" i="8"/>
  <c r="G32" i="8" s="1"/>
  <c r="F12" i="6" l="1"/>
  <c r="F6" i="5"/>
  <c r="F19" i="6"/>
  <c r="F7" i="5" l="1"/>
  <c r="F10" i="5" l="1"/>
  <c r="F11" i="5"/>
  <c r="F33" i="5" s="1"/>
  <c r="F8" i="5"/>
  <c r="F9" i="5" s="1"/>
  <c r="F12" i="5"/>
  <c r="F34" i="5" s="1"/>
  <c r="F32" i="5" l="1"/>
  <c r="F30" i="8" l="1"/>
  <c r="F32" i="8" s="1"/>
  <c r="D24" i="8"/>
  <c r="D11" i="6" s="1"/>
  <c r="D12" i="6" s="1"/>
  <c r="E31" i="8"/>
  <c r="E24" i="8"/>
  <c r="E11" i="6" s="1"/>
  <c r="E18" i="6" s="1"/>
  <c r="E30" i="8"/>
  <c r="D31" i="8"/>
  <c r="D32" i="8" s="1"/>
  <c r="D33" i="8" s="1"/>
  <c r="E32" i="8" l="1"/>
  <c r="E33" i="8" s="1"/>
  <c r="D37" i="5"/>
  <c r="D38" i="5" s="1"/>
  <c r="D35" i="8"/>
  <c r="D36" i="8" s="1"/>
  <c r="D15" i="5" s="1"/>
  <c r="D16" i="5" s="1"/>
  <c r="E19" i="6"/>
  <c r="E6" i="5"/>
  <c r="D18" i="6"/>
  <c r="E12" i="6"/>
  <c r="D19" i="6" l="1"/>
  <c r="D6" i="5"/>
  <c r="E7" i="5"/>
  <c r="E12" i="5" s="1"/>
  <c r="E34" i="5" s="1"/>
  <c r="E37" i="5"/>
  <c r="F33" i="8"/>
  <c r="E35" i="8"/>
  <c r="E36" i="8" s="1"/>
  <c r="E15" i="5" s="1"/>
  <c r="F37" i="5" l="1"/>
  <c r="F39" i="5" s="1"/>
  <c r="F35" i="8"/>
  <c r="F36" i="8" s="1"/>
  <c r="F15" i="5" s="1"/>
  <c r="F17" i="5" s="1"/>
  <c r="G33" i="8"/>
  <c r="D7" i="5"/>
  <c r="D12" i="5" s="1"/>
  <c r="D34" i="5" s="1"/>
  <c r="E10" i="5"/>
  <c r="E11" i="5"/>
  <c r="E33" i="5" s="1"/>
  <c r="E8" i="5"/>
  <c r="E9" i="5" s="1"/>
  <c r="E17" i="5" l="1"/>
  <c r="F16" i="5"/>
  <c r="F18" i="5" s="1"/>
  <c r="E32" i="5"/>
  <c r="D10" i="5"/>
  <c r="D11" i="5"/>
  <c r="D33" i="5" s="1"/>
  <c r="D8" i="5"/>
  <c r="D9" i="5" s="1"/>
  <c r="G37" i="5"/>
  <c r="H33" i="8"/>
  <c r="G35" i="8"/>
  <c r="G36" i="8" s="1"/>
  <c r="G15" i="5" s="1"/>
  <c r="H37" i="5" l="1"/>
  <c r="H35" i="8"/>
  <c r="H36" i="8" s="1"/>
  <c r="H15" i="5" s="1"/>
  <c r="I33" i="8"/>
  <c r="G38" i="5"/>
  <c r="G39" i="5"/>
  <c r="G16" i="5"/>
  <c r="G17" i="5"/>
  <c r="D32" i="5"/>
  <c r="E16" i="5"/>
  <c r="E18" i="5" s="1"/>
  <c r="D17" i="5"/>
  <c r="D18" i="5" s="1"/>
  <c r="D19" i="5" s="1"/>
  <c r="E39" i="5"/>
  <c r="F38" i="5"/>
  <c r="F40" i="5" s="1"/>
  <c r="G18" i="5" l="1"/>
  <c r="G40" i="5"/>
  <c r="E38" i="5"/>
  <c r="E40" i="5" s="1"/>
  <c r="D39" i="5"/>
  <c r="I37" i="5"/>
  <c r="I35" i="8"/>
  <c r="I36" i="8" s="1"/>
  <c r="I15" i="5" s="1"/>
  <c r="E19" i="5"/>
  <c r="D20" i="5"/>
  <c r="D24" i="5" s="1"/>
  <c r="D26" i="5" s="1"/>
  <c r="H16" i="5"/>
  <c r="H17" i="5"/>
  <c r="H38" i="5"/>
  <c r="H39" i="5"/>
  <c r="D40" i="5" l="1"/>
  <c r="D41" i="5" s="1"/>
  <c r="H40" i="5"/>
  <c r="H18" i="5"/>
  <c r="F19" i="5"/>
  <c r="E20" i="5"/>
  <c r="E24" i="5" s="1"/>
  <c r="E26" i="5" s="1"/>
  <c r="I17" i="5"/>
  <c r="I16" i="5"/>
  <c r="I39" i="5"/>
  <c r="I38" i="5"/>
  <c r="D42" i="5" l="1"/>
  <c r="E41" i="5"/>
  <c r="F41" i="5" s="1"/>
  <c r="I40" i="5"/>
  <c r="I18" i="5"/>
  <c r="F20" i="5"/>
  <c r="F24" i="5" s="1"/>
  <c r="F26" i="5" s="1"/>
  <c r="G19" i="5"/>
  <c r="D49" i="5"/>
  <c r="E42" i="5" l="1"/>
  <c r="E49" i="5"/>
  <c r="G41" i="5"/>
  <c r="F42" i="5"/>
  <c r="H19" i="5"/>
  <c r="G20" i="5"/>
  <c r="G24" i="5" s="1"/>
  <c r="G26" i="5" s="1"/>
  <c r="I19" i="5" l="1"/>
  <c r="H20" i="5"/>
  <c r="H24" i="5" s="1"/>
  <c r="H26" i="5" s="1"/>
  <c r="H41" i="5"/>
  <c r="G42" i="5"/>
  <c r="F49" i="5"/>
  <c r="G49" i="5" l="1"/>
  <c r="H42" i="5"/>
  <c r="I41" i="5"/>
  <c r="I20" i="5"/>
  <c r="I24" i="5" s="1"/>
  <c r="I26" i="5" s="1"/>
  <c r="H49" i="5" l="1"/>
  <c r="I48" i="5"/>
  <c r="G48" i="5"/>
  <c r="F48" i="5"/>
  <c r="H48" i="5"/>
  <c r="D48" i="5"/>
  <c r="E48" i="5"/>
  <c r="I42" i="5"/>
  <c r="I49" i="5" l="1"/>
  <c r="E50" i="5"/>
  <c r="F50" i="5"/>
  <c r="G50" i="5"/>
  <c r="H50" i="5"/>
  <c r="D50" i="5"/>
  <c r="I50" i="5" l="1"/>
  <c r="C63" i="5" s="1"/>
  <c r="C65" i="5" s="1"/>
</calcChain>
</file>

<file path=xl/sharedStrings.xml><?xml version="1.0" encoding="utf-8"?>
<sst xmlns="http://schemas.openxmlformats.org/spreadsheetml/2006/main" count="306" uniqueCount="172">
  <si>
    <t>Total</t>
  </si>
  <si>
    <t>EBITDA</t>
  </si>
  <si>
    <t>EBIT</t>
  </si>
  <si>
    <t>X-Factor</t>
  </si>
  <si>
    <t>Total Opex</t>
  </si>
  <si>
    <t xml:space="preserve">Materials </t>
  </si>
  <si>
    <t>Cost of Capital</t>
  </si>
  <si>
    <t xml:space="preserve"> X&amp;Z Factor </t>
  </si>
  <si>
    <t>Trimiteri de corespondeta interne recomandate</t>
  </si>
  <si>
    <t>Trimiteri de corespondenta interne</t>
  </si>
  <si>
    <t>Trimiteri de corespondenta externa</t>
  </si>
  <si>
    <t>Trimiteri de corespondeta externe recomandate</t>
  </si>
  <si>
    <t>colete nationale</t>
  </si>
  <si>
    <t>colete internationale</t>
  </si>
  <si>
    <t>Corespondeta AR</t>
  </si>
  <si>
    <t>Alte activitati</t>
  </si>
  <si>
    <t>Venituri totale</t>
  </si>
  <si>
    <t>Cecograme</t>
  </si>
  <si>
    <t>Trimiteri de corespondență externă cu valoare declarată</t>
  </si>
  <si>
    <t>Trimiteri de corespondeță internă cu valoare declarată</t>
  </si>
  <si>
    <t>Cantitati</t>
  </si>
  <si>
    <t>TOTAL</t>
  </si>
  <si>
    <t>Număr angajați</t>
  </si>
  <si>
    <t>Cheltuieli din exploatare</t>
  </si>
  <si>
    <t>Amortizarea și deprecierea imobilizărilor</t>
  </si>
  <si>
    <t>Amortizare</t>
  </si>
  <si>
    <t>Personal</t>
  </si>
  <si>
    <t>Imobilizări corporale</t>
  </si>
  <si>
    <t>Imobilizări necorporale</t>
  </si>
  <si>
    <t>Active curente</t>
  </si>
  <si>
    <t>Total active curente</t>
  </si>
  <si>
    <t>Chirii</t>
  </si>
  <si>
    <t>Utilități</t>
  </si>
  <si>
    <t>Mărfuri</t>
  </si>
  <si>
    <t>Transport</t>
  </si>
  <si>
    <t>Administrații straine</t>
  </si>
  <si>
    <t>Comisioane</t>
  </si>
  <si>
    <t>Consumabile</t>
  </si>
  <si>
    <t>Impozite și taxe</t>
  </si>
  <si>
    <t>Întretinere</t>
  </si>
  <si>
    <t>Obiecte de inventar</t>
  </si>
  <si>
    <t>Alte servicii terți</t>
  </si>
  <si>
    <t>Alte cheltuieli operaționale</t>
  </si>
  <si>
    <t>Prorata TVA</t>
  </si>
  <si>
    <t>Materii prime</t>
  </si>
  <si>
    <t>Diurna și deplasări</t>
  </si>
  <si>
    <t>Echipament de lucru</t>
  </si>
  <si>
    <t>Comunicații</t>
  </si>
  <si>
    <t xml:space="preserve"> Stocuri</t>
  </si>
  <si>
    <t xml:space="preserve"> Creanțe</t>
  </si>
  <si>
    <t xml:space="preserve"> Numerar și echivalente de numerar</t>
  </si>
  <si>
    <t>Datorii pe termen scurt</t>
  </si>
  <si>
    <t>Datorii curente</t>
  </si>
  <si>
    <t>Venituri inregistrate in avans (pana la un an)</t>
  </si>
  <si>
    <t>Subventii pentru investitii ( pana la un an)</t>
  </si>
  <si>
    <t>Provizioane pentru riscuri și cheltuieli</t>
  </si>
  <si>
    <t>Toatal datorii pe termen scurt</t>
  </si>
  <si>
    <t>Active imobilizate</t>
  </si>
  <si>
    <t>Total active imobilizate</t>
  </si>
  <si>
    <t>Capital angajat</t>
  </si>
  <si>
    <t>Cheltuieli salariale</t>
  </si>
  <si>
    <t>Venituri</t>
  </si>
  <si>
    <t>Costuri salariale</t>
  </si>
  <si>
    <t xml:space="preserve">Alte costuri operaționale </t>
  </si>
  <si>
    <t>Costul capitalului realizat</t>
  </si>
  <si>
    <t>EBIT reglementat</t>
  </si>
  <si>
    <t>Necesar/Surplus EBIT</t>
  </si>
  <si>
    <t>Energie electrica, gaze si incalzire centrala</t>
  </si>
  <si>
    <t>Productie industriala</t>
  </si>
  <si>
    <t>Diurna reglementata (HG 214/2018; HG 60/2015; HG 1860/2016)</t>
  </si>
  <si>
    <t>Servicii</t>
  </si>
  <si>
    <t>TVA reglementat (maxim)</t>
  </si>
  <si>
    <t>Posta si telecomunicatii</t>
  </si>
  <si>
    <t>IPC</t>
  </si>
  <si>
    <t>Transport rutier</t>
  </si>
  <si>
    <t>Total cheltuieli</t>
  </si>
  <si>
    <t>Alte active curente</t>
  </si>
  <si>
    <t>Forța de muncă și prețul forței de muncă</t>
  </si>
  <si>
    <t>Indicele prețului forței de muncă</t>
  </si>
  <si>
    <t>Variația prețului muncii</t>
  </si>
  <si>
    <t>Indice forță de muncă (număr angajați)</t>
  </si>
  <si>
    <t>Indicele de creștere a forței de muncă</t>
  </si>
  <si>
    <t>Indicele de preț pentru materiale</t>
  </si>
  <si>
    <t>Date de intrare</t>
  </si>
  <si>
    <t xml:space="preserve">Indicele Laspeyres  </t>
  </si>
  <si>
    <t>Indicele Paasche</t>
  </si>
  <si>
    <t xml:space="preserve">Indicele Fischer </t>
  </si>
  <si>
    <t>Cantitatea de materiale</t>
  </si>
  <si>
    <t>Rata de creștere a consumului de materiale</t>
  </si>
  <si>
    <t>TOTAL Cheltuieli operaționale</t>
  </si>
  <si>
    <t>Indicele prețurilor</t>
  </si>
  <si>
    <t>Costul capitalului reglementat</t>
  </si>
  <si>
    <t>Indice costul capitalului</t>
  </si>
  <si>
    <t>Calculare X-Factor</t>
  </si>
  <si>
    <t>Pondere costuri salariale</t>
  </si>
  <si>
    <t>Pondere costuri materiale</t>
  </si>
  <si>
    <t>Pondere costul capitalului</t>
  </si>
  <si>
    <t>Indice materiale</t>
  </si>
  <si>
    <t>Indice Laspeyres factori de producție</t>
  </si>
  <si>
    <t>Indice Paasche factori de producție</t>
  </si>
  <si>
    <t>Indice Fischer factori de producție</t>
  </si>
  <si>
    <t>Rata de creștere a producției</t>
  </si>
  <si>
    <t>Rata de creștere a factorilor de producție</t>
  </si>
  <si>
    <t>Rata de creștere a producțivității CNPR</t>
  </si>
  <si>
    <t>Rata de creștere a productivității la nivel național</t>
  </si>
  <si>
    <t>Indice industria bunurilor de capital</t>
  </si>
  <si>
    <t>industria bunurilor de capital</t>
  </si>
  <si>
    <t>IEȘIRI</t>
  </si>
  <si>
    <t>Rata de creștere a capitalului</t>
  </si>
  <si>
    <t>Cantitate capital (active imobilizate)</t>
  </si>
  <si>
    <t>Total trimiteri export</t>
  </si>
  <si>
    <t>cost mediu pe trimitere cu administrațiile straine</t>
  </si>
  <si>
    <t>Ponderea in venituri</t>
  </si>
  <si>
    <t>calculat pe baza datelor CNPR</t>
  </si>
  <si>
    <t>Categorii de cheltuieli</t>
  </si>
  <si>
    <t>Indicele forței de muncă</t>
  </si>
  <si>
    <t>Costul mediu pe angajat</t>
  </si>
  <si>
    <t>Indice de creștere a consumului de materiale</t>
  </si>
  <si>
    <t>Venituri anuale (RON)</t>
  </si>
  <si>
    <t>Evoluția numărului de trimiteri</t>
  </si>
  <si>
    <t>Evoluția numărului de trimiteri (in dicator agregat)</t>
  </si>
  <si>
    <t>Indicele Laspeyres</t>
  </si>
  <si>
    <t>Indice Fischer</t>
  </si>
  <si>
    <t>Indice Fischer cu bază fixă</t>
  </si>
  <si>
    <t>Medie 2013-2019</t>
  </si>
  <si>
    <t>Indicii prețurilor</t>
  </si>
  <si>
    <t>Indicele prețurilor de consum</t>
  </si>
  <si>
    <t>Indicele prețurilor producției industriale</t>
  </si>
  <si>
    <t>Indici cu bază fixă (2013 -100%)</t>
  </si>
  <si>
    <t>Industria bunurilor de capital</t>
  </si>
  <si>
    <t xml:space="preserve">Indicele de preț utilizat </t>
  </si>
  <si>
    <t>Indicele Fischer cu bază fixă</t>
  </si>
  <si>
    <t>Rata de creștere a activelor imobilizate</t>
  </si>
  <si>
    <t>Indice Laspeyres</t>
  </si>
  <si>
    <t>Indice Paasche</t>
  </si>
  <si>
    <t>Indice Fischer Capital Input Goods Price Index</t>
  </si>
  <si>
    <t>Analiză performanță</t>
  </si>
  <si>
    <t>Rezultate financiare</t>
  </si>
  <si>
    <t>Excedent/necesar venituri</t>
  </si>
  <si>
    <t>Indice Fischer factori de producție cu bază fixă</t>
  </si>
  <si>
    <t>Rata de creștere a productivității</t>
  </si>
  <si>
    <t>Calculare Z-Factor</t>
  </si>
  <si>
    <t xml:space="preserve">Indice prețului forței de muncă </t>
  </si>
  <si>
    <t>Indice costurilor materiale</t>
  </si>
  <si>
    <t>Indice capital</t>
  </si>
  <si>
    <t xml:space="preserve">Indice Paasche </t>
  </si>
  <si>
    <t xml:space="preserve">Indice Fischer </t>
  </si>
  <si>
    <t>Rata de creștere a prețurilor factorilor de producție</t>
  </si>
  <si>
    <t xml:space="preserve">Z-Factor </t>
  </si>
  <si>
    <t>Rezultate</t>
  </si>
  <si>
    <t>Creștere IPC</t>
  </si>
  <si>
    <t>IPC anual - (X+Z)</t>
  </si>
  <si>
    <t>IPC curent - (medie X + medie Z)</t>
  </si>
  <si>
    <t>Venituri totale coș 1(SFS 2019)</t>
  </si>
  <si>
    <t>Costuri totale coș 1(Seperated Accounts 2019)</t>
  </si>
  <si>
    <t>rata de acoperire a costurilor</t>
  </si>
  <si>
    <t>Nevoia de creștere a veniturilor pentru acoperirea costurilor</t>
  </si>
  <si>
    <t>Perioada de recuperare</t>
  </si>
  <si>
    <t>IPC - X - Z</t>
  </si>
  <si>
    <t>Rata de recuperare (anuală)</t>
  </si>
  <si>
    <t>IPC - (X+Z) +Rata de recuperare</t>
  </si>
  <si>
    <t>Costul capitalului</t>
  </si>
  <si>
    <t>IPC anual - medie X</t>
  </si>
  <si>
    <t>Ponderea în total cheltuieli, exclusiv salarii si amortizare</t>
  </si>
  <si>
    <t>Coș unic - toate serviciile din sfera serviciului universal prestate de CNPR</t>
  </si>
  <si>
    <t>Total cheltuieli operaționale, exclusiv cheltuieli cu amortizarea și deprecierea imobilizărilor</t>
  </si>
  <si>
    <t>Total cheltuieli materiale</t>
  </si>
  <si>
    <t>Alte cheltuieli operationale</t>
  </si>
  <si>
    <t>Investiții imobiliare și alte active imobilizate</t>
  </si>
  <si>
    <t>Indice costul capitalului reglementat</t>
  </si>
  <si>
    <t>Total cheltuieli cu forța de muncă</t>
  </si>
  <si>
    <t>Amortizare + WACC reglementat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</si>
</sst>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"/>
    <numFmt numFmtId="168" formatCode="0.0"/>
    <numFmt numFmtId="169" formatCode="_-* #,##0.0000\ _€_-;\-* #,##0.0000\ _€_-;_-* &quot;-&quot;??\ _€_-;_-@_-"/>
    <numFmt numFmtId="170" formatCode="_-* #,##0.0000\ _€_-;\-* #,##0.0000\ _€_-;_-* &quot;-&quot;????\ _€_-;_-@_-"/>
    <numFmt numFmtId="171" formatCode="_-* #,##0.0\ _€_-;\-* #,##0.0\ _€_-;_-* &quot;-&quot;?\ _€_-;_-@_-"/>
    <numFmt numFmtId="172" formatCode="_-* #,##0\ _€_-;\-* #,##0\ _€_-;_-* &quot;-&quot;????\ _€_-;_-@_-"/>
    <numFmt numFmtId="173" formatCode="_-* #,##0.0\ _l_e_i_-;\-* #,##0.0\ _l_e_i_-;_-* &quot;-&quot;?\ _l_e_i_-;_-@_-"/>
    <numFmt numFmtId="174" formatCode="_-* #,##0.0000\ _l_e_i_-;\-* #,##0.0000\ _l_e_i_-;_-* &quot;-&quot;?\ _l_e_i_-;_-@_-"/>
    <numFmt numFmtId="175" formatCode="_-* #,##0.000\ _€_-;\-* #,##0.000\ _€_-;_-* &quot;-&quot;\ _€_-;_-@_-"/>
    <numFmt numFmtId="176" formatCode="0.0000"/>
    <numFmt numFmtId="177" formatCode="_(* #,##0_);_(* \(#,##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8"/>
      <color indexed="55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color indexed="41"/>
      <name val="Arial"/>
      <family val="2"/>
    </font>
    <font>
      <b/>
      <sz val="14"/>
      <color indexed="41"/>
      <name val="Arial"/>
      <family val="2"/>
    </font>
    <font>
      <sz val="10"/>
      <name val="Arial"/>
      <family val="2"/>
      <charset val="238"/>
    </font>
    <font>
      <sz val="8"/>
      <color rgb="FFFF0000"/>
      <name val="Arial"/>
      <family val="2"/>
    </font>
    <font>
      <b/>
      <sz val="10"/>
      <color indexed="4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19" fillId="0" borderId="0"/>
    <xf numFmtId="0" fontId="19" fillId="0" borderId="0"/>
    <xf numFmtId="0" fontId="19" fillId="0" borderId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15">
    <xf numFmtId="0" fontId="0" fillId="0" borderId="0" xfId="0"/>
    <xf numFmtId="0" fontId="3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7" fillId="2" borderId="0" xfId="0" applyFont="1" applyFill="1"/>
    <xf numFmtId="0" fontId="10" fillId="2" borderId="0" xfId="0" applyFont="1" applyFill="1"/>
    <xf numFmtId="166" fontId="7" fillId="2" borderId="0" xfId="6" applyNumberFormat="1" applyFont="1" applyFill="1" applyBorder="1"/>
    <xf numFmtId="0" fontId="8" fillId="2" borderId="0" xfId="0" applyFont="1" applyFill="1" applyBorder="1"/>
    <xf numFmtId="10" fontId="12" fillId="2" borderId="0" xfId="0" applyNumberFormat="1" applyFont="1" applyFill="1" applyBorder="1"/>
    <xf numFmtId="10" fontId="7" fillId="2" borderId="11" xfId="8" applyNumberFormat="1" applyFont="1" applyFill="1" applyBorder="1"/>
    <xf numFmtId="10" fontId="7" fillId="2" borderId="6" xfId="8" applyNumberFormat="1" applyFont="1" applyFill="1" applyBorder="1"/>
    <xf numFmtId="10" fontId="7" fillId="0" borderId="6" xfId="8" applyNumberFormat="1" applyFont="1" applyFill="1" applyBorder="1"/>
    <xf numFmtId="0" fontId="7" fillId="0" borderId="5" xfId="0" applyFont="1" applyBorder="1"/>
    <xf numFmtId="0" fontId="7" fillId="2" borderId="6" xfId="0" applyFont="1" applyFill="1" applyBorder="1"/>
    <xf numFmtId="0" fontId="7" fillId="0" borderId="6" xfId="0" applyFont="1" applyBorder="1"/>
    <xf numFmtId="0" fontId="7" fillId="0" borderId="12" xfId="0" applyFont="1" applyBorder="1"/>
    <xf numFmtId="0" fontId="7" fillId="0" borderId="14" xfId="0" applyFont="1" applyBorder="1"/>
    <xf numFmtId="0" fontId="7" fillId="0" borderId="9" xfId="0" applyFont="1" applyBorder="1"/>
    <xf numFmtId="10" fontId="7" fillId="0" borderId="15" xfId="0" applyNumberFormat="1" applyFont="1" applyBorder="1"/>
    <xf numFmtId="0" fontId="9" fillId="3" borderId="15" xfId="9" applyFont="1" applyFill="1" applyBorder="1" applyAlignment="1"/>
    <xf numFmtId="0" fontId="13" fillId="3" borderId="15" xfId="0" applyFont="1" applyFill="1" applyBorder="1" applyAlignment="1">
      <alignment horizontal="center"/>
    </xf>
    <xf numFmtId="0" fontId="0" fillId="2" borderId="0" xfId="0" applyFill="1"/>
    <xf numFmtId="0" fontId="7" fillId="0" borderId="4" xfId="0" applyFont="1" applyBorder="1"/>
    <xf numFmtId="0" fontId="7" fillId="2" borderId="17" xfId="0" applyFont="1" applyFill="1" applyBorder="1"/>
    <xf numFmtId="167" fontId="7" fillId="2" borderId="0" xfId="0" applyNumberFormat="1" applyFont="1" applyFill="1" applyBorder="1"/>
    <xf numFmtId="168" fontId="7" fillId="2" borderId="0" xfId="0" applyNumberFormat="1" applyFont="1" applyFill="1" applyBorder="1"/>
    <xf numFmtId="0" fontId="7" fillId="0" borderId="0" xfId="0" applyFont="1"/>
    <xf numFmtId="10" fontId="7" fillId="0" borderId="6" xfId="0" applyNumberFormat="1" applyFont="1" applyBorder="1"/>
    <xf numFmtId="10" fontId="7" fillId="2" borderId="0" xfId="0" applyNumberFormat="1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6" fillId="0" borderId="7" xfId="0" applyFont="1" applyBorder="1"/>
    <xf numFmtId="0" fontId="15" fillId="0" borderId="11" xfId="0" applyFont="1" applyBorder="1" applyAlignment="1">
      <alignment horizontal="center"/>
    </xf>
    <xf numFmtId="0" fontId="16" fillId="0" borderId="9" xfId="0" applyFont="1" applyBorder="1"/>
    <xf numFmtId="0" fontId="7" fillId="2" borderId="0" xfId="0" applyFont="1" applyFill="1" applyAlignment="1">
      <alignment vertical="center"/>
    </xf>
    <xf numFmtId="10" fontId="7" fillId="0" borderId="19" xfId="0" applyNumberFormat="1" applyFont="1" applyBorder="1"/>
    <xf numFmtId="0" fontId="11" fillId="0" borderId="2" xfId="0" applyFont="1" applyBorder="1"/>
    <xf numFmtId="0" fontId="12" fillId="0" borderId="4" xfId="0" applyFont="1" applyBorder="1"/>
    <xf numFmtId="0" fontId="12" fillId="0" borderId="9" xfId="0" applyFont="1" applyBorder="1"/>
    <xf numFmtId="0" fontId="12" fillId="2" borderId="0" xfId="0" applyFont="1" applyFill="1" applyBorder="1"/>
    <xf numFmtId="0" fontId="12" fillId="2" borderId="21" xfId="0" applyFont="1" applyFill="1" applyBorder="1"/>
    <xf numFmtId="0" fontId="7" fillId="2" borderId="21" xfId="0" applyFont="1" applyFill="1" applyBorder="1"/>
    <xf numFmtId="0" fontId="7" fillId="0" borderId="25" xfId="0" applyFont="1" applyBorder="1"/>
    <xf numFmtId="0" fontId="15" fillId="0" borderId="5" xfId="0" applyFont="1" applyBorder="1" applyAlignment="1">
      <alignment horizontal="center"/>
    </xf>
    <xf numFmtId="0" fontId="16" fillId="0" borderId="10" xfId="0" applyFont="1" applyBorder="1"/>
    <xf numFmtId="0" fontId="8" fillId="0" borderId="10" xfId="0" applyFont="1" applyBorder="1"/>
    <xf numFmtId="0" fontId="8" fillId="0" borderId="14" xfId="0" applyFont="1" applyBorder="1"/>
    <xf numFmtId="0" fontId="8" fillId="0" borderId="9" xfId="0" applyFont="1" applyBorder="1"/>
    <xf numFmtId="0" fontId="16" fillId="0" borderId="2" xfId="0" applyFont="1" applyBorder="1"/>
    <xf numFmtId="0" fontId="16" fillId="0" borderId="4" xfId="0" applyFont="1" applyBorder="1"/>
    <xf numFmtId="0" fontId="13" fillId="3" borderId="9" xfId="9" applyFont="1" applyFill="1" applyBorder="1" applyAlignment="1"/>
    <xf numFmtId="0" fontId="13" fillId="3" borderId="9" xfId="9" applyFont="1" applyFill="1" applyBorder="1" applyAlignment="1">
      <alignment horizontal="center"/>
    </xf>
    <xf numFmtId="0" fontId="0" fillId="2" borderId="10" xfId="0" applyFill="1" applyBorder="1"/>
    <xf numFmtId="0" fontId="7" fillId="2" borderId="0" xfId="0" applyFont="1" applyFill="1" applyBorder="1"/>
    <xf numFmtId="0" fontId="7" fillId="0" borderId="6" xfId="0" applyFont="1" applyFill="1" applyBorder="1"/>
    <xf numFmtId="0" fontId="7" fillId="0" borderId="2" xfId="0" applyFont="1" applyFill="1" applyBorder="1"/>
    <xf numFmtId="0" fontId="7" fillId="2" borderId="0" xfId="0" applyFont="1" applyFill="1" applyAlignment="1">
      <alignment horizontal="right"/>
    </xf>
    <xf numFmtId="10" fontId="7" fillId="0" borderId="12" xfId="8" applyNumberFormat="1" applyFont="1" applyBorder="1" applyAlignment="1">
      <alignment horizontal="right"/>
    </xf>
    <xf numFmtId="3" fontId="10" fillId="2" borderId="0" xfId="0" applyNumberFormat="1" applyFont="1" applyFill="1" applyAlignment="1">
      <alignment vertical="center"/>
    </xf>
    <xf numFmtId="0" fontId="7" fillId="2" borderId="26" xfId="0" applyFont="1" applyFill="1" applyBorder="1"/>
    <xf numFmtId="0" fontId="0" fillId="0" borderId="0" xfId="0" applyAlignment="1">
      <alignment vertical="center"/>
    </xf>
    <xf numFmtId="0" fontId="11" fillId="0" borderId="8" xfId="0" applyFont="1" applyBorder="1"/>
    <xf numFmtId="169" fontId="7" fillId="2" borderId="0" xfId="7" applyNumberFormat="1" applyFont="1" applyFill="1" applyBorder="1"/>
    <xf numFmtId="10" fontId="10" fillId="2" borderId="0" xfId="0" applyNumberFormat="1" applyFont="1" applyFill="1"/>
    <xf numFmtId="0" fontId="10" fillId="2" borderId="0" xfId="0" applyFont="1" applyFill="1" applyBorder="1"/>
    <xf numFmtId="10" fontId="8" fillId="2" borderId="0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10" fontId="7" fillId="0" borderId="23" xfId="8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0" fontId="7" fillId="0" borderId="27" xfId="8" applyNumberFormat="1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10" fontId="7" fillId="0" borderId="25" xfId="8" applyNumberFormat="1" applyFont="1" applyBorder="1" applyAlignment="1">
      <alignment horizontal="right"/>
    </xf>
    <xf numFmtId="0" fontId="13" fillId="3" borderId="15" xfId="9" applyFont="1" applyFill="1" applyBorder="1" applyAlignment="1"/>
    <xf numFmtId="10" fontId="12" fillId="0" borderId="15" xfId="8" applyNumberFormat="1" applyFont="1" applyBorder="1" applyAlignment="1">
      <alignment horizontal="right"/>
    </xf>
    <xf numFmtId="10" fontId="12" fillId="0" borderId="16" xfId="8" applyNumberFormat="1" applyFont="1" applyBorder="1" applyAlignment="1">
      <alignment horizontal="right"/>
    </xf>
    <xf numFmtId="0" fontId="14" fillId="3" borderId="9" xfId="9" applyFont="1" applyFill="1" applyBorder="1" applyAlignment="1"/>
    <xf numFmtId="10" fontId="12" fillId="0" borderId="13" xfId="8" applyNumberFormat="1" applyFont="1" applyBorder="1" applyAlignment="1">
      <alignment horizontal="right"/>
    </xf>
    <xf numFmtId="0" fontId="13" fillId="3" borderId="11" xfId="0" applyFont="1" applyFill="1" applyBorder="1" applyAlignment="1">
      <alignment horizontal="center"/>
    </xf>
    <xf numFmtId="10" fontId="12" fillId="4" borderId="13" xfId="8" applyNumberFormat="1" applyFont="1" applyFill="1" applyBorder="1"/>
    <xf numFmtId="0" fontId="7" fillId="2" borderId="5" xfId="0" applyFont="1" applyFill="1" applyBorder="1"/>
    <xf numFmtId="10" fontId="12" fillId="4" borderId="13" xfId="0" applyNumberFormat="1" applyFont="1" applyFill="1" applyBorder="1"/>
    <xf numFmtId="10" fontId="12" fillId="4" borderId="28" xfId="0" applyNumberFormat="1" applyFont="1" applyFill="1" applyBorder="1"/>
    <xf numFmtId="0" fontId="16" fillId="0" borderId="3" xfId="0" applyFont="1" applyFill="1" applyBorder="1"/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1" fillId="0" borderId="2" xfId="0" applyFont="1" applyFill="1" applyBorder="1"/>
    <xf numFmtId="10" fontId="7" fillId="0" borderId="23" xfId="8" applyNumberFormat="1" applyFont="1" applyFill="1" applyBorder="1" applyAlignment="1">
      <alignment horizontal="right"/>
    </xf>
    <xf numFmtId="10" fontId="12" fillId="4" borderId="15" xfId="0" applyNumberFormat="1" applyFont="1" applyFill="1" applyBorder="1" applyAlignment="1">
      <alignment horizontal="right"/>
    </xf>
    <xf numFmtId="10" fontId="7" fillId="0" borderId="23" xfId="0" applyNumberFormat="1" applyFont="1" applyBorder="1" applyAlignment="1">
      <alignment horizontal="right"/>
    </xf>
    <xf numFmtId="10" fontId="7" fillId="4" borderId="12" xfId="0" applyNumberFormat="1" applyFont="1" applyFill="1" applyBorder="1" applyAlignment="1">
      <alignment horizontal="right"/>
    </xf>
    <xf numFmtId="10" fontId="7" fillId="0" borderId="25" xfId="0" applyNumberFormat="1" applyFont="1" applyBorder="1" applyAlignment="1">
      <alignment horizontal="right"/>
    </xf>
    <xf numFmtId="10" fontId="12" fillId="0" borderId="15" xfId="0" applyNumberFormat="1" applyFont="1" applyBorder="1" applyAlignment="1">
      <alignment horizontal="right"/>
    </xf>
    <xf numFmtId="10" fontId="7" fillId="0" borderId="12" xfId="0" applyNumberFormat="1" applyFont="1" applyBorder="1" applyAlignment="1">
      <alignment horizontal="right"/>
    </xf>
    <xf numFmtId="170" fontId="7" fillId="0" borderId="5" xfId="0" applyNumberFormat="1" applyFont="1" applyBorder="1" applyAlignment="1">
      <alignment horizontal="right"/>
    </xf>
    <xf numFmtId="170" fontId="7" fillId="0" borderId="22" xfId="0" applyNumberFormat="1" applyFont="1" applyBorder="1" applyAlignment="1">
      <alignment horizontal="right"/>
    </xf>
    <xf numFmtId="170" fontId="7" fillId="0" borderId="6" xfId="0" applyNumberFormat="1" applyFont="1" applyBorder="1" applyAlignment="1">
      <alignment horizontal="right"/>
    </xf>
    <xf numFmtId="170" fontId="7" fillId="0" borderId="19" xfId="0" applyNumberFormat="1" applyFont="1" applyBorder="1" applyAlignment="1">
      <alignment horizontal="right"/>
    </xf>
    <xf numFmtId="170" fontId="7" fillId="0" borderId="13" xfId="0" applyNumberFormat="1" applyFont="1" applyBorder="1" applyAlignment="1">
      <alignment horizontal="right"/>
    </xf>
    <xf numFmtId="170" fontId="7" fillId="0" borderId="23" xfId="7" applyNumberFormat="1" applyFont="1" applyBorder="1" applyAlignment="1">
      <alignment horizontal="right"/>
    </xf>
    <xf numFmtId="170" fontId="7" fillId="0" borderId="24" xfId="7" applyNumberFormat="1" applyFont="1" applyBorder="1" applyAlignment="1">
      <alignment horizontal="right"/>
    </xf>
    <xf numFmtId="170" fontId="7" fillId="0" borderId="6" xfId="7" applyNumberFormat="1" applyFont="1" applyBorder="1" applyAlignment="1">
      <alignment horizontal="right"/>
    </xf>
    <xf numFmtId="170" fontId="7" fillId="0" borderId="19" xfId="7" applyNumberFormat="1" applyFont="1" applyBorder="1" applyAlignment="1">
      <alignment horizontal="right"/>
    </xf>
    <xf numFmtId="170" fontId="7" fillId="0" borderId="25" xfId="7" applyNumberFormat="1" applyFont="1" applyBorder="1" applyAlignment="1">
      <alignment horizontal="right"/>
    </xf>
    <xf numFmtId="170" fontId="7" fillId="0" borderId="29" xfId="7" applyNumberFormat="1" applyFont="1" applyBorder="1" applyAlignment="1">
      <alignment horizontal="right"/>
    </xf>
    <xf numFmtId="170" fontId="16" fillId="0" borderId="23" xfId="0" applyNumberFormat="1" applyFont="1" applyBorder="1" applyAlignment="1">
      <alignment horizontal="right"/>
    </xf>
    <xf numFmtId="170" fontId="7" fillId="0" borderId="5" xfId="7" applyNumberFormat="1" applyFont="1" applyFill="1" applyBorder="1" applyAlignment="1">
      <alignment horizontal="right"/>
    </xf>
    <xf numFmtId="170" fontId="7" fillId="0" borderId="22" xfId="7" applyNumberFormat="1" applyFont="1" applyFill="1" applyBorder="1" applyAlignment="1">
      <alignment horizontal="right"/>
    </xf>
    <xf numFmtId="170" fontId="16" fillId="0" borderId="5" xfId="0" applyNumberFormat="1" applyFont="1" applyBorder="1" applyAlignment="1">
      <alignment horizontal="right"/>
    </xf>
    <xf numFmtId="170" fontId="16" fillId="0" borderId="12" xfId="0" applyNumberFormat="1" applyFont="1" applyBorder="1" applyAlignment="1">
      <alignment horizontal="right"/>
    </xf>
    <xf numFmtId="170" fontId="7" fillId="0" borderId="5" xfId="0" applyNumberFormat="1" applyFont="1" applyBorder="1"/>
    <xf numFmtId="170" fontId="7" fillId="0" borderId="6" xfId="0" applyNumberFormat="1" applyFont="1" applyBorder="1"/>
    <xf numFmtId="170" fontId="7" fillId="0" borderId="19" xfId="0" applyNumberFormat="1" applyFont="1" applyBorder="1"/>
    <xf numFmtId="171" fontId="7" fillId="0" borderId="23" xfId="0" applyNumberFormat="1" applyFont="1" applyFill="1" applyBorder="1"/>
    <xf numFmtId="170" fontId="7" fillId="0" borderId="18" xfId="5" applyNumberFormat="1" applyFont="1" applyBorder="1" applyAlignment="1">
      <alignment horizontal="right"/>
    </xf>
    <xf numFmtId="171" fontId="7" fillId="0" borderId="6" xfId="0" applyNumberFormat="1" applyFont="1" applyFill="1" applyBorder="1"/>
    <xf numFmtId="171" fontId="7" fillId="0" borderId="2" xfId="0" applyNumberFormat="1" applyFont="1" applyFill="1" applyBorder="1"/>
    <xf numFmtId="171" fontId="7" fillId="0" borderId="32" xfId="0" applyNumberFormat="1" applyFont="1" applyFill="1" applyBorder="1"/>
    <xf numFmtId="171" fontId="7" fillId="0" borderId="20" xfId="0" applyNumberFormat="1" applyFont="1" applyFill="1" applyBorder="1"/>
    <xf numFmtId="10" fontId="16" fillId="0" borderId="13" xfId="8" applyNumberFormat="1" applyFont="1" applyBorder="1"/>
    <xf numFmtId="10" fontId="16" fillId="0" borderId="28" xfId="8" applyNumberFormat="1" applyFont="1" applyBorder="1"/>
    <xf numFmtId="0" fontId="12" fillId="4" borderId="15" xfId="0" applyFont="1" applyFill="1" applyBorder="1"/>
    <xf numFmtId="0" fontId="8" fillId="0" borderId="7" xfId="0" applyFont="1" applyFill="1" applyBorder="1"/>
    <xf numFmtId="10" fontId="8" fillId="0" borderId="11" xfId="0" applyNumberFormat="1" applyFont="1" applyFill="1" applyBorder="1" applyAlignment="1">
      <alignment horizontal="right"/>
    </xf>
    <xf numFmtId="0" fontId="0" fillId="2" borderId="8" xfId="0" applyFill="1" applyBorder="1"/>
    <xf numFmtId="0" fontId="16" fillId="4" borderId="12" xfId="0" applyFont="1" applyFill="1" applyBorder="1" applyAlignment="1">
      <alignment horizontal="right"/>
    </xf>
    <xf numFmtId="0" fontId="7" fillId="6" borderId="1" xfId="0" applyFont="1" applyFill="1" applyBorder="1"/>
    <xf numFmtId="0" fontId="7" fillId="5" borderId="2" xfId="0" applyFont="1" applyFill="1" applyBorder="1"/>
    <xf numFmtId="0" fontId="7" fillId="7" borderId="2" xfId="0" applyFont="1" applyFill="1" applyBorder="1"/>
    <xf numFmtId="0" fontId="7" fillId="8" borderId="2" xfId="0" applyFont="1" applyFill="1" applyBorder="1"/>
    <xf numFmtId="0" fontId="7" fillId="9" borderId="2" xfId="0" applyFont="1" applyFill="1" applyBorder="1"/>
    <xf numFmtId="0" fontId="7" fillId="10" borderId="2" xfId="0" applyFont="1" applyFill="1" applyBorder="1"/>
    <xf numFmtId="0" fontId="7" fillId="11" borderId="2" xfId="0" applyFont="1" applyFill="1" applyBorder="1"/>
    <xf numFmtId="0" fontId="7" fillId="12" borderId="2" xfId="0" applyFont="1" applyFill="1" applyBorder="1"/>
    <xf numFmtId="0" fontId="7" fillId="14" borderId="2" xfId="0" applyFont="1" applyFill="1" applyBorder="1"/>
    <xf numFmtId="0" fontId="20" fillId="13" borderId="2" xfId="0" applyFont="1" applyFill="1" applyBorder="1"/>
    <xf numFmtId="165" fontId="8" fillId="2" borderId="10" xfId="0" applyNumberFormat="1" applyFont="1" applyFill="1" applyBorder="1"/>
    <xf numFmtId="0" fontId="21" fillId="2" borderId="0" xfId="0" applyFont="1" applyFill="1"/>
    <xf numFmtId="0" fontId="5" fillId="2" borderId="0" xfId="0" applyFont="1" applyFill="1"/>
    <xf numFmtId="0" fontId="8" fillId="0" borderId="2" xfId="0" applyFont="1" applyBorder="1"/>
    <xf numFmtId="0" fontId="8" fillId="4" borderId="4" xfId="0" applyFont="1" applyFill="1" applyBorder="1"/>
    <xf numFmtId="0" fontId="7" fillId="15" borderId="2" xfId="0" applyFont="1" applyFill="1" applyBorder="1"/>
    <xf numFmtId="9" fontId="7" fillId="15" borderId="11" xfId="8" applyNumberFormat="1" applyFont="1" applyFill="1" applyBorder="1"/>
    <xf numFmtId="0" fontId="8" fillId="4" borderId="9" xfId="0" applyFont="1" applyFill="1" applyBorder="1"/>
    <xf numFmtId="0" fontId="8" fillId="0" borderId="0" xfId="0" applyFont="1" applyBorder="1"/>
    <xf numFmtId="0" fontId="7" fillId="0" borderId="15" xfId="0" applyFont="1" applyBorder="1"/>
    <xf numFmtId="170" fontId="7" fillId="0" borderId="15" xfId="13" applyNumberFormat="1" applyFont="1" applyBorder="1"/>
    <xf numFmtId="173" fontId="2" fillId="2" borderId="0" xfId="0" applyNumberFormat="1" applyFont="1" applyFill="1"/>
    <xf numFmtId="174" fontId="0" fillId="2" borderId="0" xfId="0" applyNumberFormat="1" applyFill="1"/>
    <xf numFmtId="10" fontId="0" fillId="2" borderId="0" xfId="0" applyNumberFormat="1" applyFill="1"/>
    <xf numFmtId="164" fontId="7" fillId="2" borderId="15" xfId="6" applyNumberFormat="1" applyFont="1" applyFill="1" applyBorder="1"/>
    <xf numFmtId="171" fontId="7" fillId="15" borderId="6" xfId="0" applyNumberFormat="1" applyFont="1" applyFill="1" applyBorder="1"/>
    <xf numFmtId="0" fontId="3" fillId="2" borderId="0" xfId="0" applyFont="1" applyFill="1" applyBorder="1"/>
    <xf numFmtId="0" fontId="14" fillId="3" borderId="9" xfId="0" applyFont="1" applyFill="1" applyBorder="1"/>
    <xf numFmtId="176" fontId="7" fillId="15" borderId="2" xfId="0" applyNumberFormat="1" applyFont="1" applyFill="1" applyBorder="1" applyAlignment="1">
      <alignment horizontal="center"/>
    </xf>
    <xf numFmtId="0" fontId="11" fillId="15" borderId="6" xfId="0" applyFont="1" applyFill="1" applyBorder="1"/>
    <xf numFmtId="10" fontId="11" fillId="15" borderId="23" xfId="8" applyNumberFormat="1" applyFont="1" applyFill="1" applyBorder="1" applyAlignment="1">
      <alignment horizontal="right"/>
    </xf>
    <xf numFmtId="10" fontId="11" fillId="15" borderId="22" xfId="8" applyNumberFormat="1" applyFont="1" applyFill="1" applyBorder="1" applyAlignment="1">
      <alignment horizontal="right"/>
    </xf>
    <xf numFmtId="0" fontId="8" fillId="0" borderId="15" xfId="0" applyFont="1" applyBorder="1"/>
    <xf numFmtId="0" fontId="8" fillId="0" borderId="13" xfId="0" applyFont="1" applyBorder="1"/>
    <xf numFmtId="10" fontId="7" fillId="2" borderId="13" xfId="8" applyNumberFormat="1" applyFont="1" applyFill="1" applyBorder="1"/>
    <xf numFmtId="43" fontId="10" fillId="2" borderId="0" xfId="0" applyNumberFormat="1" applyFont="1" applyFill="1"/>
    <xf numFmtId="0" fontId="2" fillId="16" borderId="30" xfId="0" applyFont="1" applyFill="1" applyBorder="1"/>
    <xf numFmtId="0" fontId="2" fillId="2" borderId="0" xfId="0" applyFont="1" applyFill="1"/>
    <xf numFmtId="177" fontId="3" fillId="2" borderId="0" xfId="14" applyNumberFormat="1" applyFont="1" applyFill="1"/>
    <xf numFmtId="177" fontId="21" fillId="2" borderId="0" xfId="14" applyNumberFormat="1" applyFont="1" applyFill="1"/>
    <xf numFmtId="177" fontId="23" fillId="2" borderId="0" xfId="14" applyNumberFormat="1" applyFont="1" applyFill="1"/>
    <xf numFmtId="0" fontId="23" fillId="2" borderId="0" xfId="0" applyFont="1" applyFill="1"/>
    <xf numFmtId="0" fontId="24" fillId="2" borderId="0" xfId="0" applyFont="1" applyFill="1"/>
    <xf numFmtId="0" fontId="21" fillId="2" borderId="0" xfId="0" applyFont="1" applyFill="1" applyAlignment="1">
      <alignment horizontal="center"/>
    </xf>
    <xf numFmtId="177" fontId="3" fillId="2" borderId="0" xfId="0" applyNumberFormat="1" applyFont="1" applyFill="1"/>
    <xf numFmtId="177" fontId="0" fillId="2" borderId="0" xfId="14" applyNumberFormat="1" applyFont="1" applyFill="1"/>
    <xf numFmtId="177" fontId="0" fillId="2" borderId="0" xfId="0" applyNumberFormat="1" applyFill="1"/>
    <xf numFmtId="164" fontId="3" fillId="2" borderId="0" xfId="0" applyNumberFormat="1" applyFont="1" applyFill="1"/>
    <xf numFmtId="0" fontId="8" fillId="15" borderId="2" xfId="0" applyFont="1" applyFill="1" applyBorder="1"/>
    <xf numFmtId="0" fontId="2" fillId="15" borderId="0" xfId="0" applyFont="1" applyFill="1"/>
    <xf numFmtId="2" fontId="0" fillId="2" borderId="0" xfId="0" applyNumberFormat="1" applyFill="1"/>
    <xf numFmtId="0" fontId="7" fillId="15" borderId="3" xfId="0" applyFont="1" applyFill="1" applyBorder="1" applyAlignment="1">
      <alignment wrapText="1"/>
    </xf>
    <xf numFmtId="0" fontId="8" fillId="15" borderId="4" xfId="0" applyFont="1" applyFill="1" applyBorder="1"/>
    <xf numFmtId="0" fontId="7" fillId="15" borderId="0" xfId="0" applyFont="1" applyFill="1"/>
    <xf numFmtId="0" fontId="8" fillId="15" borderId="14" xfId="0" applyFont="1" applyFill="1" applyBorder="1"/>
    <xf numFmtId="10" fontId="7" fillId="0" borderId="15" xfId="8" applyNumberFormat="1" applyFont="1" applyBorder="1"/>
    <xf numFmtId="10" fontId="8" fillId="0" borderId="12" xfId="8" applyNumberFormat="1" applyFont="1" applyBorder="1"/>
    <xf numFmtId="10" fontId="8" fillId="0" borderId="15" xfId="8" applyNumberFormat="1" applyFont="1" applyBorder="1"/>
    <xf numFmtId="164" fontId="7" fillId="15" borderId="15" xfId="3" applyNumberFormat="1" applyFont="1" applyFill="1" applyBorder="1" applyAlignment="1">
      <alignment horizontal="right"/>
    </xf>
    <xf numFmtId="164" fontId="7" fillId="15" borderId="16" xfId="3" applyNumberFormat="1" applyFont="1" applyFill="1" applyBorder="1" applyAlignment="1">
      <alignment horizontal="right"/>
    </xf>
    <xf numFmtId="0" fontId="16" fillId="0" borderId="15" xfId="0" applyFont="1" applyBorder="1"/>
    <xf numFmtId="0" fontId="7" fillId="15" borderId="15" xfId="0" applyFont="1" applyFill="1" applyBorder="1"/>
    <xf numFmtId="0" fontId="8" fillId="15" borderId="15" xfId="0" applyFont="1" applyFill="1" applyBorder="1"/>
    <xf numFmtId="170" fontId="7" fillId="0" borderId="15" xfId="13" applyNumberFormat="1" applyFont="1" applyBorder="1" applyAlignment="1">
      <alignment horizontal="right"/>
    </xf>
    <xf numFmtId="0" fontId="7" fillId="15" borderId="15" xfId="0" applyFont="1" applyFill="1" applyBorder="1" applyAlignment="1">
      <alignment horizontal="left" indent="1"/>
    </xf>
    <xf numFmtId="10" fontId="24" fillId="15" borderId="0" xfId="0" applyNumberFormat="1" applyFont="1" applyFill="1"/>
    <xf numFmtId="177" fontId="23" fillId="15" borderId="0" xfId="14" applyNumberFormat="1" applyFont="1" applyFill="1"/>
    <xf numFmtId="0" fontId="5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/>
    <xf numFmtId="166" fontId="2" fillId="17" borderId="37" xfId="7" applyNumberFormat="1" applyFont="1" applyFill="1" applyBorder="1"/>
    <xf numFmtId="10" fontId="2" fillId="16" borderId="37" xfId="0" applyNumberFormat="1" applyFont="1" applyFill="1" applyBorder="1"/>
    <xf numFmtId="0" fontId="2" fillId="16" borderId="38" xfId="0" applyFont="1" applyFill="1" applyBorder="1"/>
    <xf numFmtId="0" fontId="25" fillId="18" borderId="39" xfId="0" applyFont="1" applyFill="1" applyBorder="1"/>
    <xf numFmtId="0" fontId="0" fillId="2" borderId="0" xfId="0" applyFill="1" applyBorder="1"/>
    <xf numFmtId="0" fontId="13" fillId="15" borderId="0" xfId="9" applyFont="1" applyFill="1" applyBorder="1" applyAlignment="1"/>
    <xf numFmtId="0" fontId="26" fillId="4" borderId="13" xfId="0" applyFont="1" applyFill="1" applyBorder="1"/>
    <xf numFmtId="10" fontId="25" fillId="3" borderId="30" xfId="0" applyNumberFormat="1" applyFont="1" applyFill="1" applyBorder="1" applyAlignment="1">
      <alignment horizontal="right"/>
    </xf>
    <xf numFmtId="0" fontId="26" fillId="4" borderId="10" xfId="0" applyFont="1" applyFill="1" applyBorder="1"/>
    <xf numFmtId="10" fontId="5" fillId="19" borderId="29" xfId="8" applyNumberFormat="1" applyFont="1" applyFill="1" applyBorder="1" applyAlignment="1">
      <alignment horizontal="right"/>
    </xf>
    <xf numFmtId="10" fontId="5" fillId="19" borderId="13" xfId="8" applyNumberFormat="1" applyFont="1" applyFill="1" applyBorder="1" applyAlignment="1">
      <alignment horizontal="right"/>
    </xf>
    <xf numFmtId="164" fontId="8" fillId="6" borderId="13" xfId="3" applyNumberFormat="1" applyFont="1" applyFill="1" applyBorder="1"/>
    <xf numFmtId="164" fontId="11" fillId="6" borderId="6" xfId="0" applyNumberFormat="1" applyFont="1" applyFill="1" applyBorder="1"/>
    <xf numFmtId="164" fontId="7" fillId="6" borderId="6" xfId="0" applyNumberFormat="1" applyFont="1" applyFill="1" applyBorder="1"/>
    <xf numFmtId="164" fontId="7" fillId="6" borderId="19" xfId="0" applyNumberFormat="1" applyFont="1" applyFill="1" applyBorder="1"/>
    <xf numFmtId="164" fontId="7" fillId="6" borderId="25" xfId="0" applyNumberFormat="1" applyFont="1" applyFill="1" applyBorder="1"/>
    <xf numFmtId="164" fontId="11" fillId="6" borderId="25" xfId="0" applyNumberFormat="1" applyFont="1" applyFill="1" applyBorder="1"/>
    <xf numFmtId="164" fontId="12" fillId="6" borderId="13" xfId="0" applyNumberFormat="1" applyFont="1" applyFill="1" applyBorder="1"/>
    <xf numFmtId="4" fontId="7" fillId="6" borderId="0" xfId="0" applyNumberFormat="1" applyFont="1" applyFill="1"/>
    <xf numFmtId="4" fontId="7" fillId="6" borderId="5" xfId="0" applyNumberFormat="1" applyFont="1" applyFill="1" applyBorder="1"/>
    <xf numFmtId="4" fontId="7" fillId="6" borderId="22" xfId="0" applyNumberFormat="1" applyFont="1" applyFill="1" applyBorder="1"/>
    <xf numFmtId="164" fontId="12" fillId="6" borderId="15" xfId="0" applyNumberFormat="1" applyFont="1" applyFill="1" applyBorder="1"/>
    <xf numFmtId="164" fontId="12" fillId="6" borderId="16" xfId="0" applyNumberFormat="1" applyFont="1" applyFill="1" applyBorder="1"/>
    <xf numFmtId="10" fontId="7" fillId="6" borderId="5" xfId="8" applyNumberFormat="1" applyFont="1" applyFill="1" applyBorder="1"/>
    <xf numFmtId="10" fontId="7" fillId="6" borderId="22" xfId="8" applyNumberFormat="1" applyFont="1" applyFill="1" applyBorder="1"/>
    <xf numFmtId="10" fontId="7" fillId="6" borderId="23" xfId="8" applyNumberFormat="1" applyFont="1" applyFill="1" applyBorder="1"/>
    <xf numFmtId="10" fontId="7" fillId="6" borderId="24" xfId="8" applyNumberFormat="1" applyFont="1" applyFill="1" applyBorder="1"/>
    <xf numFmtId="164" fontId="7" fillId="6" borderId="15" xfId="0" applyNumberFormat="1" applyFont="1" applyFill="1" applyBorder="1"/>
    <xf numFmtId="164" fontId="8" fillId="6" borderId="15" xfId="0" applyNumberFormat="1" applyFont="1" applyFill="1" applyBorder="1"/>
    <xf numFmtId="0" fontId="2" fillId="6" borderId="0" xfId="0" applyFont="1" applyFill="1"/>
    <xf numFmtId="164" fontId="7" fillId="6" borderId="0" xfId="0" applyNumberFormat="1" applyFont="1" applyFill="1"/>
    <xf numFmtId="164" fontId="7" fillId="6" borderId="10" xfId="0" applyNumberFormat="1" applyFont="1" applyFill="1" applyBorder="1"/>
    <xf numFmtId="164" fontId="7" fillId="6" borderId="26" xfId="0" applyNumberFormat="1" applyFont="1" applyFill="1" applyBorder="1"/>
    <xf numFmtId="164" fontId="16" fillId="6" borderId="15" xfId="0" applyNumberFormat="1" applyFont="1" applyFill="1" applyBorder="1"/>
    <xf numFmtId="164" fontId="12" fillId="6" borderId="12" xfId="0" applyNumberFormat="1" applyFont="1" applyFill="1" applyBorder="1"/>
    <xf numFmtId="164" fontId="8" fillId="6" borderId="12" xfId="0" applyNumberFormat="1" applyFont="1" applyFill="1" applyBorder="1"/>
    <xf numFmtId="164" fontId="8" fillId="6" borderId="0" xfId="0" applyNumberFormat="1" applyFont="1" applyFill="1" applyBorder="1"/>
    <xf numFmtId="164" fontId="8" fillId="6" borderId="23" xfId="0" applyNumberFormat="1" applyFont="1" applyFill="1" applyBorder="1"/>
    <xf numFmtId="172" fontId="8" fillId="6" borderId="15" xfId="13" applyNumberFormat="1" applyFont="1" applyFill="1" applyBorder="1" applyAlignment="1">
      <alignment horizontal="right"/>
    </xf>
    <xf numFmtId="170" fontId="8" fillId="6" borderId="12" xfId="13" applyNumberFormat="1" applyFont="1" applyFill="1" applyBorder="1" applyAlignment="1">
      <alignment horizontal="right"/>
    </xf>
    <xf numFmtId="164" fontId="7" fillId="6" borderId="5" xfId="0" applyNumberFormat="1" applyFont="1" applyFill="1" applyBorder="1"/>
    <xf numFmtId="10" fontId="12" fillId="6" borderId="13" xfId="8" applyNumberFormat="1" applyFont="1" applyFill="1" applyBorder="1"/>
    <xf numFmtId="164" fontId="7" fillId="6" borderId="15" xfId="2" applyNumberFormat="1" applyFont="1" applyFill="1" applyBorder="1"/>
    <xf numFmtId="170" fontId="16" fillId="6" borderId="15" xfId="2" applyNumberFormat="1" applyFont="1" applyFill="1" applyBorder="1" applyAlignment="1">
      <alignment horizontal="right"/>
    </xf>
    <xf numFmtId="164" fontId="7" fillId="6" borderId="23" xfId="0" applyNumberFormat="1" applyFont="1" applyFill="1" applyBorder="1" applyAlignment="1">
      <alignment horizontal="right"/>
    </xf>
    <xf numFmtId="164" fontId="7" fillId="6" borderId="33" xfId="0" applyNumberFormat="1" applyFont="1" applyFill="1" applyBorder="1" applyAlignment="1">
      <alignment horizontal="right"/>
    </xf>
    <xf numFmtId="164" fontId="7" fillId="6" borderId="24" xfId="0" applyNumberFormat="1" applyFont="1" applyFill="1" applyBorder="1" applyAlignment="1">
      <alignment horizontal="right"/>
    </xf>
    <xf numFmtId="164" fontId="7" fillId="6" borderId="6" xfId="0" applyNumberFormat="1" applyFont="1" applyFill="1" applyBorder="1" applyAlignment="1">
      <alignment horizontal="right"/>
    </xf>
    <xf numFmtId="164" fontId="7" fillId="6" borderId="32" xfId="0" applyNumberFormat="1" applyFont="1" applyFill="1" applyBorder="1" applyAlignment="1">
      <alignment horizontal="right"/>
    </xf>
    <xf numFmtId="164" fontId="7" fillId="6" borderId="19" xfId="0" applyNumberFormat="1" applyFont="1" applyFill="1" applyBorder="1" applyAlignment="1">
      <alignment horizontal="right"/>
    </xf>
    <xf numFmtId="164" fontId="11" fillId="6" borderId="6" xfId="0" applyNumberFormat="1" applyFont="1" applyFill="1" applyBorder="1" applyAlignment="1">
      <alignment horizontal="right"/>
    </xf>
    <xf numFmtId="164" fontId="11" fillId="6" borderId="32" xfId="0" applyNumberFormat="1" applyFont="1" applyFill="1" applyBorder="1" applyAlignment="1">
      <alignment horizontal="right"/>
    </xf>
    <xf numFmtId="164" fontId="11" fillId="6" borderId="19" xfId="0" applyNumberFormat="1" applyFont="1" applyFill="1" applyBorder="1" applyAlignment="1">
      <alignment horizontal="right"/>
    </xf>
    <xf numFmtId="164" fontId="11" fillId="6" borderId="12" xfId="0" applyNumberFormat="1" applyFont="1" applyFill="1" applyBorder="1" applyAlignment="1">
      <alignment horizontal="right"/>
    </xf>
    <xf numFmtId="10" fontId="7" fillId="6" borderId="5" xfId="8" applyNumberFormat="1" applyFont="1" applyFill="1" applyBorder="1" applyAlignment="1">
      <alignment horizontal="right"/>
    </xf>
    <xf numFmtId="10" fontId="7" fillId="6" borderId="22" xfId="8" applyNumberFormat="1" applyFont="1" applyFill="1" applyBorder="1" applyAlignment="1">
      <alignment horizontal="right"/>
    </xf>
    <xf numFmtId="10" fontId="7" fillId="6" borderId="6" xfId="8" applyNumberFormat="1" applyFont="1" applyFill="1" applyBorder="1" applyAlignment="1">
      <alignment horizontal="right"/>
    </xf>
    <xf numFmtId="10" fontId="7" fillId="6" borderId="19" xfId="8" applyNumberFormat="1" applyFont="1" applyFill="1" applyBorder="1" applyAlignment="1">
      <alignment horizontal="right"/>
    </xf>
    <xf numFmtId="10" fontId="7" fillId="6" borderId="13" xfId="8" applyNumberFormat="1" applyFont="1" applyFill="1" applyBorder="1" applyAlignment="1">
      <alignment horizontal="right"/>
    </xf>
    <xf numFmtId="10" fontId="7" fillId="6" borderId="28" xfId="8" applyNumberFormat="1" applyFont="1" applyFill="1" applyBorder="1" applyAlignment="1">
      <alignment horizontal="right"/>
    </xf>
    <xf numFmtId="10" fontId="16" fillId="6" borderId="5" xfId="8" applyNumberFormat="1" applyFont="1" applyFill="1" applyBorder="1" applyAlignment="1">
      <alignment horizontal="right"/>
    </xf>
    <xf numFmtId="10" fontId="16" fillId="6" borderId="23" xfId="8" applyNumberFormat="1" applyFont="1" applyFill="1" applyBorder="1" applyAlignment="1">
      <alignment horizontal="right"/>
    </xf>
    <xf numFmtId="10" fontId="16" fillId="6" borderId="12" xfId="8" applyNumberFormat="1" applyFont="1" applyFill="1" applyBorder="1" applyAlignment="1">
      <alignment horizontal="right"/>
    </xf>
    <xf numFmtId="177" fontId="2" fillId="6" borderId="37" xfId="14" applyNumberFormat="1" applyFont="1" applyFill="1" applyBorder="1"/>
    <xf numFmtId="10" fontId="2" fillId="6" borderId="37" xfId="8" applyNumberFormat="1" applyFont="1" applyFill="1" applyBorder="1"/>
    <xf numFmtId="164" fontId="7" fillId="6" borderId="15" xfId="6" applyNumberFormat="1" applyFont="1" applyFill="1" applyBorder="1"/>
    <xf numFmtId="164" fontId="8" fillId="6" borderId="12" xfId="4" applyNumberFormat="1" applyFont="1" applyFill="1" applyBorder="1"/>
    <xf numFmtId="164" fontId="8" fillId="6" borderId="10" xfId="4" applyNumberFormat="1" applyFont="1" applyFill="1" applyBorder="1"/>
    <xf numFmtId="164" fontId="8" fillId="6" borderId="15" xfId="4" applyNumberFormat="1" applyFont="1" applyFill="1" applyBorder="1"/>
    <xf numFmtId="166" fontId="8" fillId="6" borderId="10" xfId="0" applyNumberFormat="1" applyFont="1" applyFill="1" applyBorder="1"/>
    <xf numFmtId="166" fontId="8" fillId="6" borderId="12" xfId="0" applyNumberFormat="1" applyFont="1" applyFill="1" applyBorder="1"/>
    <xf numFmtId="10" fontId="7" fillId="6" borderId="11" xfId="8" applyNumberFormat="1" applyFont="1" applyFill="1" applyBorder="1"/>
    <xf numFmtId="10" fontId="7" fillId="6" borderId="15" xfId="8" applyNumberFormat="1" applyFont="1" applyFill="1" applyBorder="1"/>
    <xf numFmtId="10" fontId="12" fillId="6" borderId="28" xfId="8" applyNumberFormat="1" applyFont="1" applyFill="1" applyBorder="1"/>
    <xf numFmtId="10" fontId="7" fillId="6" borderId="15" xfId="0" applyNumberFormat="1" applyFont="1" applyFill="1" applyBorder="1"/>
    <xf numFmtId="10" fontId="26" fillId="6" borderId="16" xfId="0" applyNumberFormat="1" applyFont="1" applyFill="1" applyBorder="1"/>
    <xf numFmtId="164" fontId="8" fillId="6" borderId="15" xfId="6" applyNumberFormat="1" applyFont="1" applyFill="1" applyBorder="1"/>
    <xf numFmtId="175" fontId="7" fillId="6" borderId="15" xfId="6" applyNumberFormat="1" applyFont="1" applyFill="1" applyBorder="1"/>
    <xf numFmtId="175" fontId="8" fillId="6" borderId="15" xfId="6" applyNumberFormat="1" applyFont="1" applyFill="1" applyBorder="1"/>
    <xf numFmtId="10" fontId="2" fillId="6" borderId="27" xfId="8" applyNumberFormat="1" applyFont="1" applyFill="1" applyBorder="1"/>
    <xf numFmtId="10" fontId="26" fillId="6" borderId="34" xfId="0" applyNumberFormat="1" applyFont="1" applyFill="1" applyBorder="1"/>
    <xf numFmtId="10" fontId="12" fillId="6" borderId="15" xfId="8" applyNumberFormat="1" applyFont="1" applyFill="1" applyBorder="1" applyAlignment="1">
      <alignment horizontal="right"/>
    </xf>
    <xf numFmtId="10" fontId="12" fillId="6" borderId="16" xfId="8" applyNumberFormat="1" applyFont="1" applyFill="1" applyBorder="1" applyAlignment="1">
      <alignment horizontal="right"/>
    </xf>
    <xf numFmtId="10" fontId="7" fillId="6" borderId="23" xfId="8" applyNumberFormat="1" applyFont="1" applyFill="1" applyBorder="1" applyAlignment="1">
      <alignment horizontal="right"/>
    </xf>
    <xf numFmtId="10" fontId="7" fillId="6" borderId="24" xfId="8" applyNumberFormat="1" applyFont="1" applyFill="1" applyBorder="1" applyAlignment="1">
      <alignment horizontal="right"/>
    </xf>
    <xf numFmtId="10" fontId="8" fillId="6" borderId="15" xfId="8" applyNumberFormat="1" applyFont="1" applyFill="1" applyBorder="1" applyAlignment="1">
      <alignment horizontal="right"/>
    </xf>
    <xf numFmtId="164" fontId="7" fillId="20" borderId="23" xfId="6" applyNumberFormat="1" applyFont="1" applyFill="1" applyBorder="1"/>
    <xf numFmtId="164" fontId="7" fillId="20" borderId="1" xfId="6" applyNumberFormat="1" applyFont="1" applyFill="1" applyBorder="1"/>
    <xf numFmtId="164" fontId="7" fillId="20" borderId="40" xfId="6" applyNumberFormat="1" applyFont="1" applyFill="1" applyBorder="1"/>
    <xf numFmtId="164" fontId="7" fillId="20" borderId="6" xfId="6" applyNumberFormat="1" applyFont="1" applyFill="1" applyBorder="1"/>
    <xf numFmtId="164" fontId="7" fillId="20" borderId="2" xfId="6" applyNumberFormat="1" applyFont="1" applyFill="1" applyBorder="1"/>
    <xf numFmtId="164" fontId="7" fillId="20" borderId="41" xfId="6" applyNumberFormat="1" applyFont="1" applyFill="1" applyBorder="1"/>
    <xf numFmtId="164" fontId="8" fillId="20" borderId="13" xfId="4" applyNumberFormat="1" applyFont="1" applyFill="1" applyBorder="1"/>
    <xf numFmtId="164" fontId="8" fillId="20" borderId="4" xfId="4" applyNumberFormat="1" applyFont="1" applyFill="1" applyBorder="1"/>
    <xf numFmtId="164" fontId="8" fillId="20" borderId="42" xfId="4" applyNumberFormat="1" applyFont="1" applyFill="1" applyBorder="1"/>
    <xf numFmtId="0" fontId="7" fillId="15" borderId="15" xfId="0" applyFont="1" applyFill="1" applyBorder="1" applyAlignment="1">
      <alignment horizontal="left"/>
    </xf>
    <xf numFmtId="164" fontId="7" fillId="20" borderId="7" xfId="6" applyNumberFormat="1" applyFont="1" applyFill="1" applyBorder="1"/>
    <xf numFmtId="164" fontId="7" fillId="20" borderId="43" xfId="6" applyNumberFormat="1" applyFont="1" applyFill="1" applyBorder="1"/>
    <xf numFmtId="164" fontId="7" fillId="20" borderId="19" xfId="6" applyNumberFormat="1" applyFont="1" applyFill="1" applyBorder="1"/>
    <xf numFmtId="164" fontId="7" fillId="20" borderId="8" xfId="6" applyNumberFormat="1" applyFont="1" applyFill="1" applyBorder="1"/>
    <xf numFmtId="164" fontId="7" fillId="20" borderId="37" xfId="6" applyNumberFormat="1" applyFont="1" applyFill="1" applyBorder="1"/>
    <xf numFmtId="170" fontId="7" fillId="6" borderId="5" xfId="0" applyNumberFormat="1" applyFont="1" applyFill="1" applyBorder="1"/>
    <xf numFmtId="170" fontId="7" fillId="6" borderId="6" xfId="0" applyNumberFormat="1" applyFont="1" applyFill="1" applyBorder="1"/>
    <xf numFmtId="170" fontId="7" fillId="6" borderId="19" xfId="0" applyNumberFormat="1" applyFont="1" applyFill="1" applyBorder="1"/>
    <xf numFmtId="10" fontId="7" fillId="6" borderId="6" xfId="0" applyNumberFormat="1" applyFont="1" applyFill="1" applyBorder="1"/>
    <xf numFmtId="10" fontId="7" fillId="6" borderId="6" xfId="8" applyNumberFormat="1" applyFont="1" applyFill="1" applyBorder="1"/>
    <xf numFmtId="10" fontId="7" fillId="6" borderId="19" xfId="8" applyNumberFormat="1" applyFont="1" applyFill="1" applyBorder="1"/>
    <xf numFmtId="37" fontId="7" fillId="6" borderId="25" xfId="0" applyNumberFormat="1" applyFont="1" applyFill="1" applyBorder="1"/>
    <xf numFmtId="37" fontId="7" fillId="6" borderId="29" xfId="0" applyNumberFormat="1" applyFont="1" applyFill="1" applyBorder="1"/>
    <xf numFmtId="170" fontId="7" fillId="6" borderId="25" xfId="0" applyNumberFormat="1" applyFont="1" applyFill="1" applyBorder="1"/>
    <xf numFmtId="170" fontId="7" fillId="6" borderId="29" xfId="0" applyNumberFormat="1" applyFont="1" applyFill="1" applyBorder="1"/>
    <xf numFmtId="10" fontId="12" fillId="6" borderId="13" xfId="0" applyNumberFormat="1" applyFont="1" applyFill="1" applyBorder="1"/>
    <xf numFmtId="170" fontId="7" fillId="6" borderId="22" xfId="0" applyNumberFormat="1" applyFont="1" applyFill="1" applyBorder="1"/>
    <xf numFmtId="10" fontId="12" fillId="15" borderId="15" xfId="8" applyNumberFormat="1" applyFont="1" applyFill="1" applyBorder="1"/>
    <xf numFmtId="10" fontId="8" fillId="15" borderId="12" xfId="8" applyNumberFormat="1" applyFont="1" applyFill="1" applyBorder="1" applyAlignment="1">
      <alignment horizontal="right"/>
    </xf>
    <xf numFmtId="10" fontId="12" fillId="15" borderId="12" xfId="8" applyNumberFormat="1" applyFont="1" applyFill="1" applyBorder="1" applyAlignment="1">
      <alignment horizontal="right"/>
    </xf>
    <xf numFmtId="10" fontId="12" fillId="15" borderId="31" xfId="8" applyNumberFormat="1" applyFont="1" applyFill="1" applyBorder="1" applyAlignment="1">
      <alignment horizontal="right"/>
    </xf>
  </cellXfs>
  <cellStyles count="18">
    <cellStyle name="Comma" xfId="14" builtinId="3"/>
    <cellStyle name="Comma 2" xfId="15" xr:uid="{B1BF2883-A612-4046-AAEE-0767BED23E6D}"/>
    <cellStyle name="Dezimal_Capital Input Data" xfId="1" xr:uid="{00000000-0005-0000-0000-000000000000}"/>
    <cellStyle name="Dezimal_Capital stock" xfId="13" xr:uid="{84CDB5D3-C913-43C2-A811-8007AD074D12}"/>
    <cellStyle name="Dezimal_Cost of Capital" xfId="2" xr:uid="{00000000-0005-0000-0000-000001000000}"/>
    <cellStyle name="Dezimal_Labor Q&amp;P" xfId="3" xr:uid="{00000000-0005-0000-0000-000002000000}"/>
    <cellStyle name="Dezimal_Outputs" xfId="4" xr:uid="{00000000-0005-0000-0000-000003000000}"/>
    <cellStyle name="Dezimal_Price Indices" xfId="5" xr:uid="{00000000-0005-0000-0000-000004000000}"/>
    <cellStyle name="Dezimal_Sheet1" xfId="6" xr:uid="{00000000-0005-0000-0000-000005000000}"/>
    <cellStyle name="Dezimal_X&amp;Z Factor" xfId="7" xr:uid="{00000000-0005-0000-0000-000006000000}"/>
    <cellStyle name="Normal" xfId="0" builtinId="0"/>
    <cellStyle name="Normal 10 2" xfId="10" xr:uid="{00000000-0005-0000-0000-000008000000}"/>
    <cellStyle name="Normal 2" xfId="11" xr:uid="{00000000-0005-0000-0000-000009000000}"/>
    <cellStyle name="Normal 2 2 2 2" xfId="12" xr:uid="{00000000-0005-0000-0000-00000A000000}"/>
    <cellStyle name="Normal 3" xfId="17" xr:uid="{7B646EC5-6921-4AF9-838F-80AEF6200149}"/>
    <cellStyle name="Percent" xfId="8" builtinId="5"/>
    <cellStyle name="Percent 2" xfId="16" xr:uid="{2AF1046F-BD13-48E2-87B5-02C6E2CA1537}"/>
    <cellStyle name="Standard_DataRequirements_V3.92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00CCFF"/>
      <rgbColor rgb="0000337F"/>
      <rgbColor rgb="00FFAA1F"/>
      <rgbColor rgb="006685B3"/>
      <rgbColor rgb="004F4F4F"/>
      <rgbColor rgb="00E6E6E6"/>
      <rgbColor rgb="00000000"/>
      <rgbColor rgb="00C3CF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B1:R71"/>
  <sheetViews>
    <sheetView zoomScaleNormal="10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9" width="13.44140625" style="1" bestFit="1" customWidth="1"/>
    <col min="10" max="10" width="9.109375" style="1"/>
    <col min="11" max="11" width="15.109375" style="1" bestFit="1" customWidth="1"/>
    <col min="12" max="17" width="14" style="1" bestFit="1" customWidth="1"/>
    <col min="18" max="16384" width="9.109375" style="1"/>
  </cols>
  <sheetData>
    <row r="1" spans="2:18" ht="27" customHeight="1" x14ac:dyDescent="0.3">
      <c r="B1" s="86" t="s">
        <v>107</v>
      </c>
      <c r="K1" s="140"/>
    </row>
    <row r="3" spans="2:18" x14ac:dyDescent="0.25">
      <c r="B3" s="75" t="s">
        <v>118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  <c r="J3" s="22">
        <v>2020</v>
      </c>
    </row>
    <row r="4" spans="2:18" x14ac:dyDescent="0.25">
      <c r="B4" s="190" t="s">
        <v>9</v>
      </c>
      <c r="C4" s="284">
        <v>6254</v>
      </c>
      <c r="D4" s="284">
        <v>1546</v>
      </c>
      <c r="E4" s="284">
        <v>55879</v>
      </c>
      <c r="F4" s="284">
        <v>200</v>
      </c>
      <c r="G4" s="284">
        <v>63548</v>
      </c>
      <c r="H4" s="285">
        <v>54564</v>
      </c>
      <c r="I4" s="286">
        <v>98518</v>
      </c>
    </row>
    <row r="5" spans="2:18" x14ac:dyDescent="0.25">
      <c r="B5" s="190" t="s">
        <v>8</v>
      </c>
      <c r="C5" s="287">
        <v>854</v>
      </c>
      <c r="D5" s="287">
        <v>349</v>
      </c>
      <c r="E5" s="287">
        <v>254</v>
      </c>
      <c r="F5" s="287">
        <v>5463</v>
      </c>
      <c r="G5" s="287">
        <v>4885</v>
      </c>
      <c r="H5" s="288">
        <v>954</v>
      </c>
      <c r="I5" s="289">
        <v>3599</v>
      </c>
    </row>
    <row r="6" spans="2:18" x14ac:dyDescent="0.25">
      <c r="B6" s="190" t="s">
        <v>19</v>
      </c>
      <c r="C6" s="287">
        <v>397</v>
      </c>
      <c r="D6" s="287">
        <v>6762</v>
      </c>
      <c r="E6" s="287">
        <v>9760</v>
      </c>
      <c r="F6" s="287">
        <v>24569</v>
      </c>
      <c r="G6" s="287">
        <v>1546</v>
      </c>
      <c r="H6" s="288">
        <v>66</v>
      </c>
      <c r="I6" s="289">
        <v>700</v>
      </c>
    </row>
    <row r="7" spans="2:18" x14ac:dyDescent="0.25">
      <c r="B7" s="190" t="s">
        <v>10</v>
      </c>
      <c r="C7" s="287">
        <v>553</v>
      </c>
      <c r="D7" s="287">
        <v>8734</v>
      </c>
      <c r="E7" s="287">
        <v>64732</v>
      </c>
      <c r="F7" s="287">
        <v>4656</v>
      </c>
      <c r="G7" s="287">
        <v>4216</v>
      </c>
      <c r="H7" s="288">
        <v>1568</v>
      </c>
      <c r="I7" s="289">
        <v>5896</v>
      </c>
    </row>
    <row r="8" spans="2:18" x14ac:dyDescent="0.25">
      <c r="B8" s="190" t="s">
        <v>11</v>
      </c>
      <c r="C8" s="287">
        <v>2151</v>
      </c>
      <c r="D8" s="287">
        <v>120</v>
      </c>
      <c r="E8" s="287">
        <v>554</v>
      </c>
      <c r="F8" s="287">
        <v>635</v>
      </c>
      <c r="G8" s="287">
        <v>266</v>
      </c>
      <c r="H8" s="288">
        <v>32000</v>
      </c>
      <c r="I8" s="289">
        <v>2045</v>
      </c>
    </row>
    <row r="9" spans="2:18" x14ac:dyDescent="0.25">
      <c r="B9" s="190" t="s">
        <v>18</v>
      </c>
      <c r="C9" s="287">
        <v>687</v>
      </c>
      <c r="D9" s="287">
        <v>6489</v>
      </c>
      <c r="E9" s="287">
        <v>25624</v>
      </c>
      <c r="F9" s="287">
        <v>4789</v>
      </c>
      <c r="G9" s="287">
        <v>2656</v>
      </c>
      <c r="H9" s="288">
        <v>24545</v>
      </c>
      <c r="I9" s="289">
        <v>976</v>
      </c>
    </row>
    <row r="10" spans="2:18" x14ac:dyDescent="0.25">
      <c r="B10" s="190" t="s">
        <v>12</v>
      </c>
      <c r="C10" s="287">
        <v>5554</v>
      </c>
      <c r="D10" s="287">
        <v>5563</v>
      </c>
      <c r="E10" s="287">
        <v>546</v>
      </c>
      <c r="F10" s="287">
        <v>2531</v>
      </c>
      <c r="G10" s="287">
        <v>6562</v>
      </c>
      <c r="H10" s="288">
        <v>15456</v>
      </c>
      <c r="I10" s="289">
        <v>395</v>
      </c>
    </row>
    <row r="11" spans="2:18" x14ac:dyDescent="0.25">
      <c r="B11" s="190" t="s">
        <v>13</v>
      </c>
      <c r="C11" s="287">
        <v>666666</v>
      </c>
      <c r="D11" s="287">
        <v>4579</v>
      </c>
      <c r="E11" s="287">
        <v>644253</v>
      </c>
      <c r="F11" s="287">
        <v>6102</v>
      </c>
      <c r="G11" s="287">
        <v>3245</v>
      </c>
      <c r="H11" s="288">
        <v>25456</v>
      </c>
      <c r="I11" s="289">
        <v>22</v>
      </c>
    </row>
    <row r="12" spans="2:18" x14ac:dyDescent="0.25">
      <c r="B12" s="293" t="s">
        <v>14</v>
      </c>
      <c r="C12" s="287">
        <v>1445</v>
      </c>
      <c r="D12" s="287">
        <v>1956</v>
      </c>
      <c r="E12" s="287">
        <v>956</v>
      </c>
      <c r="F12" s="287">
        <v>1254</v>
      </c>
      <c r="G12" s="287">
        <v>56285</v>
      </c>
      <c r="H12" s="288">
        <v>4544</v>
      </c>
      <c r="I12" s="289"/>
    </row>
    <row r="13" spans="2:18" x14ac:dyDescent="0.25">
      <c r="B13" s="190" t="s">
        <v>17</v>
      </c>
      <c r="C13" s="263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</row>
    <row r="14" spans="2:18" ht="13.8" thickBot="1" x14ac:dyDescent="0.3">
      <c r="B14" s="190" t="s">
        <v>15</v>
      </c>
      <c r="C14" s="290">
        <f t="shared" ref="C14:I14" si="0">SUM(C1:C12)</f>
        <v>686574</v>
      </c>
      <c r="D14" s="290">
        <f t="shared" si="0"/>
        <v>38112</v>
      </c>
      <c r="E14" s="290">
        <f t="shared" si="0"/>
        <v>804573</v>
      </c>
      <c r="F14" s="290">
        <f t="shared" si="0"/>
        <v>52215</v>
      </c>
      <c r="G14" s="290">
        <f t="shared" si="0"/>
        <v>145226</v>
      </c>
      <c r="H14" s="291">
        <f t="shared" si="0"/>
        <v>161171</v>
      </c>
      <c r="I14" s="292">
        <f t="shared" si="0"/>
        <v>114170</v>
      </c>
      <c r="M14" s="168"/>
    </row>
    <row r="15" spans="2:18" x14ac:dyDescent="0.25">
      <c r="B15" s="47" t="s">
        <v>16</v>
      </c>
      <c r="C15" s="264">
        <f>SUM(C3:C14)</f>
        <v>1373148</v>
      </c>
      <c r="D15" s="264">
        <f>SUM(D3:D14)</f>
        <v>76224</v>
      </c>
      <c r="E15" s="264">
        <f t="shared" ref="E15:H15" si="1">SUM(E4:E14)</f>
        <v>1607131</v>
      </c>
      <c r="F15" s="264">
        <f t="shared" si="1"/>
        <v>102414</v>
      </c>
      <c r="G15" s="264">
        <f t="shared" si="1"/>
        <v>288435</v>
      </c>
      <c r="H15" s="265">
        <f t="shared" si="1"/>
        <v>320324</v>
      </c>
      <c r="I15" s="266">
        <f>SUM(I4:I14)</f>
        <v>226321</v>
      </c>
      <c r="K15" s="168"/>
      <c r="L15" s="168"/>
      <c r="M15" s="168"/>
      <c r="N15" s="168"/>
      <c r="O15" s="168"/>
      <c r="P15" s="168"/>
      <c r="Q15" s="168"/>
      <c r="R15" s="168"/>
    </row>
    <row r="16" spans="2:18" x14ac:dyDescent="0.25">
      <c r="B16" s="6"/>
      <c r="C16" s="6"/>
      <c r="D16" s="6"/>
      <c r="E16" s="6"/>
      <c r="F16" s="6"/>
      <c r="G16" s="6"/>
      <c r="H16" s="6"/>
      <c r="I16" s="6"/>
    </row>
    <row r="17" spans="2:9" x14ac:dyDescent="0.25">
      <c r="B17" s="75" t="s">
        <v>112</v>
      </c>
      <c r="C17" s="7"/>
      <c r="D17" s="7"/>
      <c r="E17" s="7"/>
      <c r="F17" s="7"/>
      <c r="G17" s="7"/>
      <c r="H17" s="7"/>
      <c r="I17" s="7"/>
    </row>
    <row r="18" spans="2:9" x14ac:dyDescent="0.25">
      <c r="B18" s="148" t="s">
        <v>9</v>
      </c>
      <c r="C18" s="184">
        <f t="shared" ref="C18:I18" si="2">C4/C$15</f>
        <v>4.5544981313012144E-3</v>
      </c>
      <c r="D18" s="184">
        <f t="shared" si="2"/>
        <v>2.0282325776658269E-2</v>
      </c>
      <c r="E18" s="184">
        <f t="shared" si="2"/>
        <v>3.476941207655132E-2</v>
      </c>
      <c r="F18" s="184">
        <f t="shared" si="2"/>
        <v>1.9528580076942606E-3</v>
      </c>
      <c r="G18" s="184">
        <f t="shared" si="2"/>
        <v>0.22032000277358851</v>
      </c>
      <c r="H18" s="184">
        <f t="shared" si="2"/>
        <v>0.17034003071889711</v>
      </c>
      <c r="I18" s="184">
        <f t="shared" si="2"/>
        <v>0.43530207095231993</v>
      </c>
    </row>
    <row r="19" spans="2:9" x14ac:dyDescent="0.25">
      <c r="B19" s="148" t="s">
        <v>8</v>
      </c>
      <c r="C19" s="184">
        <f t="shared" ref="C19:I19" si="3">C5/C$15</f>
        <v>6.2192859036316547E-4</v>
      </c>
      <c r="D19" s="184">
        <f t="shared" si="3"/>
        <v>4.5786104114189756E-3</v>
      </c>
      <c r="E19" s="184">
        <f t="shared" si="3"/>
        <v>1.5804561046983725E-4</v>
      </c>
      <c r="F19" s="184">
        <f t="shared" si="3"/>
        <v>5.3342316480168725E-2</v>
      </c>
      <c r="G19" s="184">
        <f t="shared" si="3"/>
        <v>1.6936224799348205E-2</v>
      </c>
      <c r="H19" s="184">
        <f t="shared" si="3"/>
        <v>2.9782345375307501E-3</v>
      </c>
      <c r="I19" s="184">
        <f t="shared" si="3"/>
        <v>1.5902192019300022E-2</v>
      </c>
    </row>
    <row r="20" spans="2:9" x14ac:dyDescent="0.25">
      <c r="B20" s="148" t="s">
        <v>19</v>
      </c>
      <c r="C20" s="184">
        <f t="shared" ref="C20:I20" si="4">C6/C$15</f>
        <v>2.8911668662081583E-4</v>
      </c>
      <c r="D20" s="184">
        <f t="shared" si="4"/>
        <v>8.8712216624685133E-2</v>
      </c>
      <c r="E20" s="184">
        <f t="shared" si="4"/>
        <v>6.0729336936441395E-3</v>
      </c>
      <c r="F20" s="184">
        <f t="shared" si="4"/>
        <v>0.23989884195520145</v>
      </c>
      <c r="G20" s="184">
        <f t="shared" si="4"/>
        <v>5.3599597829666994E-3</v>
      </c>
      <c r="H20" s="184">
        <f t="shared" si="4"/>
        <v>2.0604138309961165E-4</v>
      </c>
      <c r="I20" s="184">
        <f t="shared" si="4"/>
        <v>3.0929520459877786E-3</v>
      </c>
    </row>
    <row r="21" spans="2:9" x14ac:dyDescent="0.25">
      <c r="B21" s="148" t="s">
        <v>10</v>
      </c>
      <c r="C21" s="184">
        <f t="shared" ref="C21:I21" si="5">C7/C$15</f>
        <v>4.0272425113680387E-4</v>
      </c>
      <c r="D21" s="184">
        <f t="shared" si="5"/>
        <v>0.11458333333333333</v>
      </c>
      <c r="E21" s="184">
        <f t="shared" si="5"/>
        <v>4.0277986050919312E-2</v>
      </c>
      <c r="F21" s="184">
        <f t="shared" si="5"/>
        <v>4.5462534419122388E-2</v>
      </c>
      <c r="G21" s="184">
        <f t="shared" si="5"/>
        <v>1.4616811413316692E-2</v>
      </c>
      <c r="H21" s="184">
        <f t="shared" si="5"/>
        <v>4.8950437681847129E-3</v>
      </c>
      <c r="I21" s="184">
        <f t="shared" si="5"/>
        <v>2.6051493233062772E-2</v>
      </c>
    </row>
    <row r="22" spans="2:9" x14ac:dyDescent="0.25">
      <c r="B22" s="148" t="s">
        <v>11</v>
      </c>
      <c r="C22" s="184">
        <f t="shared" ref="C22:I22" si="6">C8/C$15</f>
        <v>1.5664735338069896E-3</v>
      </c>
      <c r="D22" s="184">
        <f t="shared" si="6"/>
        <v>1.5743073047858943E-3</v>
      </c>
      <c r="E22" s="184">
        <f t="shared" si="6"/>
        <v>3.4471365433184973E-4</v>
      </c>
      <c r="F22" s="184">
        <f t="shared" si="6"/>
        <v>6.2003241744292776E-3</v>
      </c>
      <c r="G22" s="184">
        <f t="shared" si="6"/>
        <v>9.2221817740565466E-4</v>
      </c>
      <c r="H22" s="184">
        <f t="shared" si="6"/>
        <v>9.9898852411932915E-2</v>
      </c>
      <c r="I22" s="184">
        <f t="shared" si="6"/>
        <v>9.0358384772071532E-3</v>
      </c>
    </row>
    <row r="23" spans="2:9" x14ac:dyDescent="0.25">
      <c r="B23" s="148" t="s">
        <v>18</v>
      </c>
      <c r="C23" s="184">
        <f t="shared" ref="C23:I23" si="7">C9/C$15</f>
        <v>5.0031023604156294E-4</v>
      </c>
      <c r="D23" s="184">
        <f t="shared" si="7"/>
        <v>8.5130667506297233E-2</v>
      </c>
      <c r="E23" s="184">
        <f t="shared" si="7"/>
        <v>1.5943939853067361E-2</v>
      </c>
      <c r="F23" s="184">
        <f t="shared" si="7"/>
        <v>4.676118499423907E-2</v>
      </c>
      <c r="G23" s="184">
        <f t="shared" si="7"/>
        <v>9.2083138315391683E-3</v>
      </c>
      <c r="H23" s="184">
        <f t="shared" si="7"/>
        <v>7.6625541639090425E-2</v>
      </c>
      <c r="I23" s="184">
        <f t="shared" si="7"/>
        <v>4.312458852691531E-3</v>
      </c>
    </row>
    <row r="24" spans="2:9" x14ac:dyDescent="0.25">
      <c r="B24" s="148" t="s">
        <v>12</v>
      </c>
      <c r="C24" s="184">
        <f t="shared" ref="C24:I24" si="8">C10/C$15</f>
        <v>4.0447205982166523E-3</v>
      </c>
      <c r="D24" s="184">
        <f t="shared" si="8"/>
        <v>7.298226280436608E-2</v>
      </c>
      <c r="E24" s="184">
        <f t="shared" si="8"/>
        <v>3.3973583982886273E-4</v>
      </c>
      <c r="F24" s="184">
        <f t="shared" si="8"/>
        <v>2.4713418087370868E-2</v>
      </c>
      <c r="G24" s="184">
        <f t="shared" si="8"/>
        <v>2.2750359699759044E-2</v>
      </c>
      <c r="H24" s="184">
        <f t="shared" si="8"/>
        <v>4.8251145714963597E-2</v>
      </c>
      <c r="I24" s="184">
        <f t="shared" si="8"/>
        <v>1.745308654521675E-3</v>
      </c>
    </row>
    <row r="25" spans="2:9" x14ac:dyDescent="0.25">
      <c r="B25" s="148" t="s">
        <v>13</v>
      </c>
      <c r="C25" s="184">
        <f t="shared" ref="C25:I25" si="9">C11/C$15</f>
        <v>0.48550192695907507</v>
      </c>
      <c r="D25" s="184">
        <f t="shared" si="9"/>
        <v>6.0072942905121746E-2</v>
      </c>
      <c r="E25" s="184">
        <f t="shared" si="9"/>
        <v>0.40087149087411045</v>
      </c>
      <c r="F25" s="184">
        <f t="shared" si="9"/>
        <v>5.9581697814751887E-2</v>
      </c>
      <c r="G25" s="184">
        <f t="shared" si="9"/>
        <v>1.1250368367223118E-2</v>
      </c>
      <c r="H25" s="184">
        <f t="shared" si="9"/>
        <v>7.946953709369263E-2</v>
      </c>
      <c r="I25" s="184">
        <f t="shared" si="9"/>
        <v>9.7207064302473034E-5</v>
      </c>
    </row>
    <row r="26" spans="2:9" x14ac:dyDescent="0.25">
      <c r="B26" s="148" t="s">
        <v>14</v>
      </c>
      <c r="C26" s="184">
        <f t="shared" ref="C26:I26" si="10">C12/C$15</f>
        <v>1.0523264790102743E-3</v>
      </c>
      <c r="D26" s="184">
        <f t="shared" si="10"/>
        <v>2.5661209068010074E-2</v>
      </c>
      <c r="E26" s="184">
        <f t="shared" si="10"/>
        <v>5.9484883310694653E-4</v>
      </c>
      <c r="F26" s="184">
        <f t="shared" si="10"/>
        <v>1.2244419708243014E-2</v>
      </c>
      <c r="G26" s="184">
        <f t="shared" si="10"/>
        <v>0.19513928614765891</v>
      </c>
      <c r="H26" s="184">
        <f t="shared" si="10"/>
        <v>1.4185637042494474E-2</v>
      </c>
      <c r="I26" s="184">
        <f t="shared" si="10"/>
        <v>0</v>
      </c>
    </row>
    <row r="27" spans="2:9" x14ac:dyDescent="0.25">
      <c r="B27" s="148" t="s">
        <v>17</v>
      </c>
      <c r="C27" s="184">
        <f t="shared" ref="C27:I27" si="11">C13/C$15</f>
        <v>0</v>
      </c>
      <c r="D27" s="184">
        <f t="shared" si="11"/>
        <v>0</v>
      </c>
      <c r="E27" s="184">
        <f t="shared" si="11"/>
        <v>0</v>
      </c>
      <c r="F27" s="184">
        <f t="shared" si="11"/>
        <v>0</v>
      </c>
      <c r="G27" s="184">
        <f t="shared" si="11"/>
        <v>0</v>
      </c>
      <c r="H27" s="184">
        <f t="shared" si="11"/>
        <v>0</v>
      </c>
      <c r="I27" s="184">
        <f t="shared" si="11"/>
        <v>0</v>
      </c>
    </row>
    <row r="28" spans="2:9" x14ac:dyDescent="0.25">
      <c r="B28" s="148" t="s">
        <v>15</v>
      </c>
      <c r="C28" s="184">
        <f t="shared" ref="C28:I28" si="12">C14/C$15</f>
        <v>0.5</v>
      </c>
      <c r="D28" s="184">
        <f t="shared" si="12"/>
        <v>0.5</v>
      </c>
      <c r="E28" s="184">
        <f t="shared" si="12"/>
        <v>0.50062689351396994</v>
      </c>
      <c r="F28" s="184">
        <f t="shared" si="12"/>
        <v>0.50984240435877903</v>
      </c>
      <c r="G28" s="184">
        <f t="shared" si="12"/>
        <v>0.50349645500719398</v>
      </c>
      <c r="H28" s="184">
        <f t="shared" si="12"/>
        <v>0.50314993569011379</v>
      </c>
      <c r="I28" s="184">
        <f t="shared" si="12"/>
        <v>0.50446047870060662</v>
      </c>
    </row>
    <row r="29" spans="2:9" x14ac:dyDescent="0.25">
      <c r="B29" s="46" t="s">
        <v>16</v>
      </c>
      <c r="C29" s="185">
        <v>1</v>
      </c>
      <c r="D29" s="185">
        <v>1</v>
      </c>
      <c r="E29" s="185">
        <f t="shared" ref="E29:I29" si="13">SUM(E18:E28)</f>
        <v>1</v>
      </c>
      <c r="F29" s="185">
        <f t="shared" si="13"/>
        <v>1</v>
      </c>
      <c r="G29" s="185">
        <f t="shared" si="13"/>
        <v>1</v>
      </c>
      <c r="H29" s="185">
        <f t="shared" si="13"/>
        <v>1</v>
      </c>
      <c r="I29" s="186">
        <f t="shared" si="13"/>
        <v>1</v>
      </c>
    </row>
    <row r="30" spans="2:9" x14ac:dyDescent="0.25">
      <c r="B30" s="6"/>
      <c r="C30" s="6"/>
      <c r="D30" s="6"/>
      <c r="E30" s="6"/>
      <c r="F30" s="6"/>
      <c r="G30" s="6"/>
      <c r="H30" s="6"/>
      <c r="I30" s="6"/>
    </row>
    <row r="31" spans="2:9" x14ac:dyDescent="0.25">
      <c r="B31" s="75" t="s">
        <v>20</v>
      </c>
      <c r="C31" s="8"/>
      <c r="D31" s="8"/>
      <c r="E31" s="8"/>
      <c r="F31" s="8"/>
      <c r="G31" s="8"/>
      <c r="H31" s="8"/>
      <c r="I31" s="8"/>
    </row>
    <row r="32" spans="2:9" x14ac:dyDescent="0.25">
      <c r="B32" s="129" t="s">
        <v>9</v>
      </c>
      <c r="C32" s="294">
        <v>584</v>
      </c>
      <c r="D32" s="294">
        <v>546</v>
      </c>
      <c r="E32" s="294">
        <v>879</v>
      </c>
      <c r="F32" s="294">
        <v>523</v>
      </c>
      <c r="G32" s="294">
        <v>115</v>
      </c>
      <c r="H32" s="294">
        <v>154</v>
      </c>
      <c r="I32" s="295">
        <v>256</v>
      </c>
    </row>
    <row r="33" spans="2:17" x14ac:dyDescent="0.25">
      <c r="B33" s="130" t="s">
        <v>8</v>
      </c>
      <c r="C33" s="288">
        <v>216</v>
      </c>
      <c r="D33" s="288">
        <v>225</v>
      </c>
      <c r="E33" s="288">
        <v>300</v>
      </c>
      <c r="F33" s="288">
        <v>432</v>
      </c>
      <c r="G33" s="288">
        <v>423</v>
      </c>
      <c r="H33" s="288">
        <v>799</v>
      </c>
      <c r="I33" s="296">
        <v>504</v>
      </c>
    </row>
    <row r="34" spans="2:17" x14ac:dyDescent="0.25">
      <c r="B34" s="132" t="s">
        <v>19</v>
      </c>
      <c r="C34" s="297">
        <v>220</v>
      </c>
      <c r="D34" s="297">
        <v>87</v>
      </c>
      <c r="E34" s="297">
        <v>635</v>
      </c>
      <c r="F34" s="297">
        <v>788</v>
      </c>
      <c r="G34" s="297">
        <v>831</v>
      </c>
      <c r="H34" s="297">
        <v>760</v>
      </c>
      <c r="I34" s="298">
        <v>402</v>
      </c>
    </row>
    <row r="35" spans="2:17" x14ac:dyDescent="0.25">
      <c r="B35" s="133" t="s">
        <v>10</v>
      </c>
      <c r="C35" s="294">
        <v>584</v>
      </c>
      <c r="D35" s="294">
        <v>546</v>
      </c>
      <c r="E35" s="294">
        <v>879</v>
      </c>
      <c r="F35" s="294">
        <v>523</v>
      </c>
      <c r="G35" s="294">
        <v>115</v>
      </c>
      <c r="H35" s="294">
        <v>154</v>
      </c>
      <c r="I35" s="295">
        <v>256</v>
      </c>
    </row>
    <row r="36" spans="2:17" x14ac:dyDescent="0.25">
      <c r="B36" s="134" t="s">
        <v>11</v>
      </c>
      <c r="C36" s="288">
        <v>216</v>
      </c>
      <c r="D36" s="288">
        <v>225</v>
      </c>
      <c r="E36" s="288">
        <v>300</v>
      </c>
      <c r="F36" s="288">
        <v>432</v>
      </c>
      <c r="G36" s="288">
        <v>423</v>
      </c>
      <c r="H36" s="288">
        <v>799</v>
      </c>
      <c r="I36" s="296">
        <v>504</v>
      </c>
    </row>
    <row r="37" spans="2:17" x14ac:dyDescent="0.25">
      <c r="B37" s="137" t="s">
        <v>18</v>
      </c>
      <c r="C37" s="297">
        <v>220</v>
      </c>
      <c r="D37" s="297">
        <v>87</v>
      </c>
      <c r="E37" s="297">
        <v>635</v>
      </c>
      <c r="F37" s="297">
        <v>788</v>
      </c>
      <c r="G37" s="297">
        <v>831</v>
      </c>
      <c r="H37" s="297">
        <v>760</v>
      </c>
      <c r="I37" s="298">
        <v>402</v>
      </c>
    </row>
    <row r="38" spans="2:17" x14ac:dyDescent="0.25">
      <c r="B38" s="135" t="s">
        <v>12</v>
      </c>
      <c r="C38" s="294">
        <v>584</v>
      </c>
      <c r="D38" s="294">
        <v>546</v>
      </c>
      <c r="E38" s="294">
        <v>879</v>
      </c>
      <c r="F38" s="294">
        <v>523</v>
      </c>
      <c r="G38" s="294">
        <v>115</v>
      </c>
      <c r="H38" s="294">
        <v>154</v>
      </c>
      <c r="I38" s="295">
        <v>256</v>
      </c>
    </row>
    <row r="39" spans="2:17" x14ac:dyDescent="0.25">
      <c r="B39" s="136" t="s">
        <v>13</v>
      </c>
      <c r="C39" s="288">
        <v>216</v>
      </c>
      <c r="D39" s="288">
        <v>225</v>
      </c>
      <c r="E39" s="288">
        <v>300</v>
      </c>
      <c r="F39" s="288">
        <v>432</v>
      </c>
      <c r="G39" s="288">
        <v>423</v>
      </c>
      <c r="H39" s="288">
        <v>799</v>
      </c>
      <c r="I39" s="296">
        <v>504</v>
      </c>
    </row>
    <row r="40" spans="2:17" x14ac:dyDescent="0.25">
      <c r="B40" s="138" t="s">
        <v>14</v>
      </c>
      <c r="C40" s="297">
        <v>220</v>
      </c>
      <c r="D40" s="297">
        <v>87</v>
      </c>
      <c r="E40" s="297">
        <v>635</v>
      </c>
      <c r="F40" s="297">
        <v>788</v>
      </c>
      <c r="G40" s="297">
        <v>831</v>
      </c>
      <c r="H40" s="297">
        <v>760</v>
      </c>
      <c r="I40" s="298">
        <v>402</v>
      </c>
    </row>
    <row r="41" spans="2:17" x14ac:dyDescent="0.25">
      <c r="B41" s="3" t="s">
        <v>17</v>
      </c>
      <c r="C41" s="263">
        <v>50</v>
      </c>
      <c r="D41" s="263">
        <v>40</v>
      </c>
      <c r="E41" s="263">
        <v>35</v>
      </c>
      <c r="F41" s="263">
        <v>20</v>
      </c>
      <c r="G41" s="263">
        <v>34</v>
      </c>
      <c r="H41" s="263">
        <v>75</v>
      </c>
      <c r="I41" s="263">
        <v>50</v>
      </c>
    </row>
    <row r="42" spans="2:17" x14ac:dyDescent="0.25">
      <c r="B42" s="131" t="s">
        <v>15</v>
      </c>
      <c r="C42" s="297">
        <v>1500</v>
      </c>
      <c r="D42" s="297">
        <v>1700</v>
      </c>
      <c r="E42" s="297">
        <v>1900</v>
      </c>
      <c r="F42" s="297">
        <v>2000</v>
      </c>
      <c r="G42" s="297">
        <v>1750</v>
      </c>
      <c r="H42" s="297">
        <v>1800</v>
      </c>
      <c r="I42" s="298">
        <v>1900</v>
      </c>
      <c r="K42" s="172"/>
      <c r="M42" s="167"/>
    </row>
    <row r="43" spans="2:17" s="140" customFormat="1" x14ac:dyDescent="0.25">
      <c r="B43" s="139" t="s">
        <v>21</v>
      </c>
      <c r="C43" s="267">
        <f>SUM(C32:C42)</f>
        <v>4610</v>
      </c>
      <c r="D43" s="267">
        <f t="shared" ref="D43:I43" si="14">SUM(D32:D42)</f>
        <v>4314</v>
      </c>
      <c r="E43" s="267">
        <f t="shared" si="14"/>
        <v>7377</v>
      </c>
      <c r="F43" s="267">
        <f t="shared" si="14"/>
        <v>7249</v>
      </c>
      <c r="G43" s="267">
        <f t="shared" si="14"/>
        <v>5891</v>
      </c>
      <c r="H43" s="267">
        <f t="shared" si="14"/>
        <v>7014</v>
      </c>
      <c r="I43" s="268">
        <f t="shared" si="14"/>
        <v>5436</v>
      </c>
      <c r="K43" s="168"/>
      <c r="L43" s="168"/>
      <c r="M43" s="168"/>
      <c r="N43" s="168"/>
      <c r="O43" s="168"/>
      <c r="P43" s="168"/>
      <c r="Q43" s="168"/>
    </row>
    <row r="44" spans="2:17" x14ac:dyDescent="0.25">
      <c r="B44"/>
      <c r="C44" s="7"/>
      <c r="D44" s="7"/>
      <c r="E44" s="7"/>
      <c r="F44" s="7"/>
      <c r="G44" s="164"/>
      <c r="H44" s="7"/>
      <c r="I44" s="7"/>
      <c r="K44" s="169"/>
    </row>
    <row r="45" spans="2:17" x14ac:dyDescent="0.25">
      <c r="B45" s="9"/>
      <c r="C45" s="10"/>
      <c r="D45" s="10"/>
      <c r="E45" s="10"/>
      <c r="F45" s="10"/>
      <c r="G45" s="10"/>
      <c r="H45" s="10"/>
      <c r="I45" s="10"/>
      <c r="K45" s="170"/>
    </row>
    <row r="46" spans="2:17" x14ac:dyDescent="0.25">
      <c r="B46" s="75" t="s">
        <v>119</v>
      </c>
      <c r="C46" s="10"/>
      <c r="D46" s="10"/>
      <c r="E46" s="10"/>
      <c r="F46" s="10"/>
      <c r="G46" s="10"/>
      <c r="H46" s="10"/>
      <c r="I46" s="10"/>
    </row>
    <row r="47" spans="2:17" x14ac:dyDescent="0.25">
      <c r="B47" s="2" t="s">
        <v>9</v>
      </c>
      <c r="C47" s="11">
        <v>1</v>
      </c>
      <c r="D47" s="269">
        <f>D32/C32</f>
        <v>0.93493150684931503</v>
      </c>
      <c r="E47" s="269">
        <f t="shared" ref="E47:I47" si="15">E32/D32</f>
        <v>1.6098901098901099</v>
      </c>
      <c r="F47" s="269">
        <f t="shared" si="15"/>
        <v>0.59499431171786121</v>
      </c>
      <c r="G47" s="269">
        <f t="shared" si="15"/>
        <v>0.21988527724665391</v>
      </c>
      <c r="H47" s="269">
        <f t="shared" si="15"/>
        <v>1.3391304347826087</v>
      </c>
      <c r="I47" s="269">
        <f t="shared" si="15"/>
        <v>1.6623376623376624</v>
      </c>
    </row>
    <row r="48" spans="2:17" x14ac:dyDescent="0.25">
      <c r="B48" s="3" t="s">
        <v>8</v>
      </c>
      <c r="C48" s="13">
        <v>1</v>
      </c>
      <c r="D48" s="269">
        <f t="shared" ref="D48:I48" si="16">D33/C33</f>
        <v>1.0416666666666667</v>
      </c>
      <c r="E48" s="269">
        <f t="shared" si="16"/>
        <v>1.3333333333333333</v>
      </c>
      <c r="F48" s="269">
        <f>F33/E33</f>
        <v>1.44</v>
      </c>
      <c r="G48" s="269">
        <f t="shared" si="16"/>
        <v>0.97916666666666663</v>
      </c>
      <c r="H48" s="269">
        <f t="shared" si="16"/>
        <v>1.8888888888888888</v>
      </c>
      <c r="I48" s="269">
        <f t="shared" si="16"/>
        <v>0.63078848560700873</v>
      </c>
    </row>
    <row r="49" spans="2:9" x14ac:dyDescent="0.25">
      <c r="B49" s="3" t="s">
        <v>19</v>
      </c>
      <c r="C49" s="12">
        <v>1</v>
      </c>
      <c r="D49" s="269">
        <f t="shared" ref="D49:I49" si="17">D34/C34</f>
        <v>0.39545454545454545</v>
      </c>
      <c r="E49" s="269">
        <f t="shared" si="17"/>
        <v>7.2988505747126435</v>
      </c>
      <c r="F49" s="269">
        <f t="shared" si="17"/>
        <v>1.2409448818897637</v>
      </c>
      <c r="G49" s="269">
        <f t="shared" si="17"/>
        <v>1.0545685279187818</v>
      </c>
      <c r="H49" s="269">
        <f t="shared" si="17"/>
        <v>0.914560770156438</v>
      </c>
      <c r="I49" s="269">
        <f t="shared" si="17"/>
        <v>0.52894736842105261</v>
      </c>
    </row>
    <row r="50" spans="2:9" x14ac:dyDescent="0.25">
      <c r="B50" s="3" t="s">
        <v>10</v>
      </c>
      <c r="C50" s="12">
        <v>1</v>
      </c>
      <c r="D50" s="269">
        <f t="shared" ref="D50:I50" si="18">D35/C35</f>
        <v>0.93493150684931503</v>
      </c>
      <c r="E50" s="269">
        <f t="shared" si="18"/>
        <v>1.6098901098901099</v>
      </c>
      <c r="F50" s="269">
        <f t="shared" si="18"/>
        <v>0.59499431171786121</v>
      </c>
      <c r="G50" s="269">
        <f t="shared" si="18"/>
        <v>0.21988527724665391</v>
      </c>
      <c r="H50" s="269">
        <f t="shared" si="18"/>
        <v>1.3391304347826087</v>
      </c>
      <c r="I50" s="269">
        <f t="shared" si="18"/>
        <v>1.6623376623376624</v>
      </c>
    </row>
    <row r="51" spans="2:9" x14ac:dyDescent="0.25">
      <c r="B51" s="3" t="s">
        <v>11</v>
      </c>
      <c r="C51" s="12">
        <v>1</v>
      </c>
      <c r="D51" s="269">
        <f>D36/C36</f>
        <v>1.0416666666666667</v>
      </c>
      <c r="E51" s="269">
        <f t="shared" ref="E51:I51" si="19">E36/D36</f>
        <v>1.3333333333333333</v>
      </c>
      <c r="F51" s="269">
        <f t="shared" si="19"/>
        <v>1.44</v>
      </c>
      <c r="G51" s="269">
        <f t="shared" si="19"/>
        <v>0.97916666666666663</v>
      </c>
      <c r="H51" s="269">
        <f t="shared" si="19"/>
        <v>1.8888888888888888</v>
      </c>
      <c r="I51" s="269">
        <f t="shared" si="19"/>
        <v>0.63078848560700873</v>
      </c>
    </row>
    <row r="52" spans="2:9" x14ac:dyDescent="0.25">
      <c r="B52" s="3" t="s">
        <v>18</v>
      </c>
      <c r="C52" s="12">
        <v>1</v>
      </c>
      <c r="D52" s="269">
        <f t="shared" ref="D52:I52" si="20">D37/C37</f>
        <v>0.39545454545454545</v>
      </c>
      <c r="E52" s="269">
        <f t="shared" si="20"/>
        <v>7.2988505747126435</v>
      </c>
      <c r="F52" s="269">
        <f t="shared" si="20"/>
        <v>1.2409448818897637</v>
      </c>
      <c r="G52" s="269">
        <f t="shared" si="20"/>
        <v>1.0545685279187818</v>
      </c>
      <c r="H52" s="269">
        <f t="shared" si="20"/>
        <v>0.914560770156438</v>
      </c>
      <c r="I52" s="269">
        <f t="shared" si="20"/>
        <v>0.52894736842105261</v>
      </c>
    </row>
    <row r="53" spans="2:9" x14ac:dyDescent="0.25">
      <c r="B53" s="3" t="s">
        <v>12</v>
      </c>
      <c r="C53" s="12">
        <v>1</v>
      </c>
      <c r="D53" s="269">
        <f t="shared" ref="D53:I53" si="21">D38/C38</f>
        <v>0.93493150684931503</v>
      </c>
      <c r="E53" s="269">
        <f t="shared" si="21"/>
        <v>1.6098901098901099</v>
      </c>
      <c r="F53" s="269">
        <f t="shared" si="21"/>
        <v>0.59499431171786121</v>
      </c>
      <c r="G53" s="269">
        <f t="shared" si="21"/>
        <v>0.21988527724665391</v>
      </c>
      <c r="H53" s="269">
        <f t="shared" si="21"/>
        <v>1.3391304347826087</v>
      </c>
      <c r="I53" s="269">
        <f t="shared" si="21"/>
        <v>1.6623376623376624</v>
      </c>
    </row>
    <row r="54" spans="2:9" x14ac:dyDescent="0.25">
      <c r="B54" s="3" t="s">
        <v>13</v>
      </c>
      <c r="C54" s="12">
        <v>1</v>
      </c>
      <c r="D54" s="269">
        <f t="shared" ref="D54:I54" si="22">D39/C39</f>
        <v>1.0416666666666667</v>
      </c>
      <c r="E54" s="269">
        <f t="shared" si="22"/>
        <v>1.3333333333333333</v>
      </c>
      <c r="F54" s="269">
        <f t="shared" si="22"/>
        <v>1.44</v>
      </c>
      <c r="G54" s="269">
        <f t="shared" si="22"/>
        <v>0.97916666666666663</v>
      </c>
      <c r="H54" s="269">
        <f t="shared" si="22"/>
        <v>1.8888888888888888</v>
      </c>
      <c r="I54" s="269">
        <f t="shared" si="22"/>
        <v>0.63078848560700873</v>
      </c>
    </row>
    <row r="55" spans="2:9" x14ac:dyDescent="0.25">
      <c r="B55" s="3" t="s">
        <v>14</v>
      </c>
      <c r="C55" s="12">
        <v>1</v>
      </c>
      <c r="D55" s="269">
        <f t="shared" ref="D55:I55" si="23">D40/C40</f>
        <v>0.39545454545454545</v>
      </c>
      <c r="E55" s="269">
        <f t="shared" si="23"/>
        <v>7.2988505747126435</v>
      </c>
      <c r="F55" s="269">
        <f t="shared" si="23"/>
        <v>1.2409448818897637</v>
      </c>
      <c r="G55" s="269">
        <f t="shared" si="23"/>
        <v>1.0545685279187818</v>
      </c>
      <c r="H55" s="269">
        <f t="shared" si="23"/>
        <v>0.914560770156438</v>
      </c>
      <c r="I55" s="269">
        <f t="shared" si="23"/>
        <v>0.52894736842105261</v>
      </c>
    </row>
    <row r="56" spans="2:9" x14ac:dyDescent="0.25">
      <c r="B56" s="3" t="s">
        <v>17</v>
      </c>
      <c r="C56" s="12">
        <v>1</v>
      </c>
      <c r="D56" s="269">
        <f t="shared" ref="D56:I56" si="24">D41/C41</f>
        <v>0.8</v>
      </c>
      <c r="E56" s="269">
        <f t="shared" si="24"/>
        <v>0.875</v>
      </c>
      <c r="F56" s="269">
        <f t="shared" si="24"/>
        <v>0.5714285714285714</v>
      </c>
      <c r="G56" s="269">
        <f t="shared" si="24"/>
        <v>1.7</v>
      </c>
      <c r="H56" s="269">
        <f t="shared" si="24"/>
        <v>2.2058823529411766</v>
      </c>
      <c r="I56" s="269">
        <f t="shared" si="24"/>
        <v>0.66666666666666663</v>
      </c>
    </row>
    <row r="57" spans="2:9" x14ac:dyDescent="0.25">
      <c r="B57" s="24" t="s">
        <v>15</v>
      </c>
      <c r="C57" s="163">
        <v>1</v>
      </c>
      <c r="D57" s="270">
        <f t="shared" ref="D57:I57" si="25">D42/C42</f>
        <v>1.1333333333333333</v>
      </c>
      <c r="E57" s="270">
        <f t="shared" si="25"/>
        <v>1.1176470588235294</v>
      </c>
      <c r="F57" s="270">
        <f>F42/E42</f>
        <v>1.0526315789473684</v>
      </c>
      <c r="G57" s="270">
        <f t="shared" si="25"/>
        <v>0.875</v>
      </c>
      <c r="H57" s="270">
        <f t="shared" si="25"/>
        <v>1.0285714285714285</v>
      </c>
      <c r="I57" s="270">
        <f t="shared" si="25"/>
        <v>1.0555555555555556</v>
      </c>
    </row>
    <row r="58" spans="2:9" x14ac:dyDescent="0.25">
      <c r="B58" s="9"/>
      <c r="C58" s="10"/>
      <c r="D58" s="10"/>
      <c r="E58" s="10"/>
      <c r="F58" s="10"/>
      <c r="G58" s="10"/>
      <c r="H58" s="10"/>
      <c r="I58" s="10"/>
    </row>
    <row r="59" spans="2:9" x14ac:dyDescent="0.25">
      <c r="B59" s="9"/>
      <c r="C59" s="10"/>
      <c r="D59" s="7"/>
      <c r="E59" s="7"/>
      <c r="F59" s="7"/>
      <c r="G59" s="7"/>
      <c r="H59" s="7"/>
      <c r="I59" s="7"/>
    </row>
    <row r="60" spans="2:9" x14ac:dyDescent="0.25">
      <c r="B60" s="75" t="s">
        <v>120</v>
      </c>
      <c r="C60" s="6"/>
      <c r="D60" s="7"/>
      <c r="E60" s="7"/>
      <c r="F60" s="7"/>
      <c r="G60" s="7"/>
      <c r="H60" s="7"/>
      <c r="I60" s="7"/>
    </row>
    <row r="61" spans="2:9" x14ac:dyDescent="0.25">
      <c r="B61" s="18" t="s">
        <v>121</v>
      </c>
      <c r="C61" s="113">
        <v>1</v>
      </c>
      <c r="D61" s="113">
        <f>SUMPRODUCT(C18:C28,D47:D57)/SUMPRODUCT(C18:C28,C47:C57)</f>
        <v>1.0854131440266293</v>
      </c>
      <c r="E61" s="113">
        <f>SUMPRODUCT(D18:D28,E47:E57)/SUMPRODUCT(D18:D28,D47:D57)</f>
        <v>2.6823272040666231</v>
      </c>
      <c r="F61" s="113">
        <f t="shared" ref="F61:H61" si="26">SUMPRODUCT(E18:E28,F47:F57)/SUMPRODUCT(E18:E28,E47:E57)</f>
        <v>0.85285219624248465</v>
      </c>
      <c r="G61" s="113">
        <f t="shared" si="26"/>
        <v>0.79660054305043548</v>
      </c>
      <c r="H61" s="113">
        <f t="shared" si="26"/>
        <v>1.4858354315162401</v>
      </c>
      <c r="I61" s="113">
        <f>SUMPRODUCT(H18:H28,I47:I57)/SUMPRODUCT(H18:H28,H47:H57)</f>
        <v>0.85640673034784109</v>
      </c>
    </row>
    <row r="62" spans="2:9" x14ac:dyDescent="0.25">
      <c r="B62" s="3" t="s">
        <v>85</v>
      </c>
      <c r="C62" s="114">
        <v>1</v>
      </c>
      <c r="D62" s="114">
        <f t="shared" ref="D62:I62" si="27">SUMPRODUCT(D18:D28,D47:D57)/SUMPRODUCT(D18:D28,C47:C57)</f>
        <v>0.93353632218130045</v>
      </c>
      <c r="E62" s="114">
        <f>SUMPRODUCT(E18:E28,E47:E57)/SUMPRODUCT(E18:E28,D47:D57)</f>
        <v>1.2969252262191193</v>
      </c>
      <c r="F62" s="114">
        <f t="shared" si="27"/>
        <v>0.3707515811781793</v>
      </c>
      <c r="G62" s="114">
        <f t="shared" si="27"/>
        <v>0.75788579602087436</v>
      </c>
      <c r="H62" s="114">
        <f t="shared" si="27"/>
        <v>1.6290465288785068</v>
      </c>
      <c r="I62" s="114">
        <f t="shared" si="27"/>
        <v>1.1080701457990296</v>
      </c>
    </row>
    <row r="63" spans="2:9" x14ac:dyDescent="0.25">
      <c r="B63" s="3" t="s">
        <v>122</v>
      </c>
      <c r="C63" s="114">
        <v>1</v>
      </c>
      <c r="D63" s="114">
        <f>(D62*D61)^0.5</f>
        <v>1.0066144219719195</v>
      </c>
      <c r="E63" s="114">
        <f>(E62*E61)^0.5</f>
        <v>1.865148202135102</v>
      </c>
      <c r="F63" s="114">
        <f t="shared" ref="F63:G63" si="28">(F62*F61)^0.5</f>
        <v>0.56231334704787517</v>
      </c>
      <c r="G63" s="114">
        <f t="shared" si="28"/>
        <v>0.77700208280315441</v>
      </c>
      <c r="H63" s="114">
        <f t="shared" ref="H63:I63" si="29">(H62*H61)^0.5</f>
        <v>1.5557940262760457</v>
      </c>
      <c r="I63" s="115">
        <f t="shared" si="29"/>
        <v>0.97414512807887232</v>
      </c>
    </row>
    <row r="64" spans="2:9" x14ac:dyDescent="0.25">
      <c r="B64" s="3" t="s">
        <v>123</v>
      </c>
      <c r="C64" s="114">
        <v>1</v>
      </c>
      <c r="D64" s="114">
        <f>C64*D63</f>
        <v>1.0066144219719195</v>
      </c>
      <c r="E64" s="114">
        <f>D64*E63</f>
        <v>1.8774850793841906</v>
      </c>
      <c r="F64" s="114">
        <f t="shared" ref="F64:I64" si="30">E64*F63</f>
        <v>1.0557349190209699</v>
      </c>
      <c r="G64" s="114">
        <f t="shared" si="30"/>
        <v>0.8203082309673132</v>
      </c>
      <c r="H64" s="114">
        <f t="shared" si="30"/>
        <v>1.2762306454440167</v>
      </c>
      <c r="I64" s="115">
        <f t="shared" si="30"/>
        <v>1.2432338655642434</v>
      </c>
    </row>
    <row r="65" spans="2:11" x14ac:dyDescent="0.25">
      <c r="B65" s="143" t="s">
        <v>101</v>
      </c>
      <c r="C65" s="81"/>
      <c r="D65" s="239">
        <f>LN(D64/C64)</f>
        <v>6.5926426684930753E-3</v>
      </c>
      <c r="E65" s="239">
        <f>LN(E64/D64)</f>
        <v>0.62334051489040421</v>
      </c>
      <c r="F65" s="239">
        <f t="shared" ref="F65:I65" si="31">LN(F64/E64)</f>
        <v>-0.57569602744092319</v>
      </c>
      <c r="G65" s="239">
        <f t="shared" si="31"/>
        <v>-0.25231224804774205</v>
      </c>
      <c r="H65" s="239">
        <f t="shared" si="31"/>
        <v>0.44198604313542489</v>
      </c>
      <c r="I65" s="271">
        <f t="shared" si="31"/>
        <v>-2.619498430495168E-2</v>
      </c>
    </row>
    <row r="66" spans="2:11" ht="13.8" x14ac:dyDescent="0.25">
      <c r="B66" s="19" t="s">
        <v>124</v>
      </c>
      <c r="C66" s="20"/>
      <c r="D66" s="272">
        <f>AVERAGE($D$65:D65)</f>
        <v>6.5926426684930753E-3</v>
      </c>
      <c r="E66" s="272">
        <f>AVERAGE($D$65:E65)</f>
        <v>0.31496657877944861</v>
      </c>
      <c r="F66" s="272">
        <f>AVERAGE($D$65:F65)</f>
        <v>1.8079043372658015E-2</v>
      </c>
      <c r="G66" s="272">
        <f>AVERAGE($D$65:G65)</f>
        <v>-4.9518779482442002E-2</v>
      </c>
      <c r="H66" s="272">
        <f>AVERAGE($D$65:H65)</f>
        <v>4.8782185041131375E-2</v>
      </c>
      <c r="I66" s="273">
        <f>AVERAGE($D$65:I65)</f>
        <v>3.6285990150117534E-2</v>
      </c>
    </row>
    <row r="67" spans="2:11" x14ac:dyDescent="0.25">
      <c r="K67" s="170"/>
    </row>
    <row r="68" spans="2:11" x14ac:dyDescent="0.25">
      <c r="K68" s="170"/>
    </row>
    <row r="69" spans="2:11" x14ac:dyDescent="0.25">
      <c r="B69" s="153" t="s">
        <v>110</v>
      </c>
      <c r="C69" s="263">
        <v>3500</v>
      </c>
      <c r="D69" s="263">
        <v>3700</v>
      </c>
      <c r="E69" s="263">
        <v>3900</v>
      </c>
      <c r="F69" s="263">
        <v>3450</v>
      </c>
      <c r="G69" s="263">
        <v>3900</v>
      </c>
      <c r="H69" s="263">
        <v>3247</v>
      </c>
      <c r="I69" s="274">
        <v>3500</v>
      </c>
      <c r="K69" s="170"/>
    </row>
    <row r="70" spans="2:11" x14ac:dyDescent="0.25">
      <c r="B70" s="153" t="s">
        <v>111</v>
      </c>
      <c r="C70" s="275">
        <f ca="1">'Materiale-dummy data'!C9/'outputuri-dummy data'!C69</f>
        <v>46.076332267155827</v>
      </c>
      <c r="D70" s="275">
        <f ca="1">'Materiale-dummy data'!D9/'outputuri-dummy data'!D69</f>
        <v>57.562986963559922</v>
      </c>
      <c r="E70" s="275">
        <f ca="1">'Materiale-dummy data'!E9/'outputuri-dummy data'!E69</f>
        <v>29.9940945046812</v>
      </c>
      <c r="F70" s="275">
        <f ca="1">'Materiale-dummy data'!F9/'outputuri-dummy data'!F69</f>
        <v>268.76958002924607</v>
      </c>
      <c r="G70" s="275">
        <f ca="1">'Materiale-dummy data'!G9/'outputuri-dummy data'!G69</f>
        <v>22.29951631943263</v>
      </c>
      <c r="H70" s="275">
        <f ca="1">'Materiale-dummy data'!H9/'outputuri-dummy data'!H69</f>
        <v>119.27013687801386</v>
      </c>
      <c r="I70" s="276">
        <f ca="1">'Materiale-dummy data'!I9/'outputuri-dummy data'!I69</f>
        <v>209.12371707721508</v>
      </c>
    </row>
    <row r="71" spans="2:11" x14ac:dyDescent="0.25">
      <c r="K71" s="170"/>
    </row>
  </sheetData>
  <phoneticPr fontId="0" type="noConversion"/>
  <pageMargins left="0.75" right="0.75" top="1" bottom="1" header="0.5" footer="0.5"/>
  <pageSetup paperSize="9" scale="43" orientation="landscape" r:id="rId1"/>
  <headerFooter alignWithMargins="0"/>
  <ignoredErrors>
    <ignoredError sqref="E15:H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B1:J48"/>
  <sheetViews>
    <sheetView zoomScaleNormal="10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D21" sqref="D21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9" width="9.33203125" style="23" customWidth="1"/>
    <col min="10" max="10" width="59.33203125" style="23" bestFit="1" customWidth="1"/>
    <col min="11" max="16384" width="11.44140625" style="23"/>
  </cols>
  <sheetData>
    <row r="1" spans="2:10" ht="27" customHeight="1" x14ac:dyDescent="0.3">
      <c r="B1" s="86" t="s">
        <v>125</v>
      </c>
    </row>
    <row r="3" spans="2:10" x14ac:dyDescent="0.25">
      <c r="B3" s="52" t="s">
        <v>114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  <c r="J3" s="22" t="s">
        <v>130</v>
      </c>
    </row>
    <row r="4" spans="2:10" x14ac:dyDescent="0.25">
      <c r="B4" s="144" t="s">
        <v>31</v>
      </c>
      <c r="C4" s="118">
        <v>100.54</v>
      </c>
      <c r="D4" s="118">
        <v>101.99</v>
      </c>
      <c r="E4" s="118">
        <v>101.23</v>
      </c>
      <c r="F4" s="118">
        <v>100.31</v>
      </c>
      <c r="G4" s="118">
        <v>102.75</v>
      </c>
      <c r="H4" s="118">
        <v>102.57</v>
      </c>
      <c r="I4" s="118">
        <v>101.92</v>
      </c>
      <c r="J4" s="82" t="s">
        <v>31</v>
      </c>
    </row>
    <row r="5" spans="2:10" x14ac:dyDescent="0.25">
      <c r="B5" s="144" t="s">
        <v>32</v>
      </c>
      <c r="C5" s="118">
        <v>107.5</v>
      </c>
      <c r="D5" s="118">
        <v>99.41</v>
      </c>
      <c r="E5" s="118">
        <v>105.37</v>
      </c>
      <c r="F5" s="118">
        <v>93.52</v>
      </c>
      <c r="G5" s="118">
        <v>107.73</v>
      </c>
      <c r="H5" s="118">
        <v>106.18</v>
      </c>
      <c r="I5" s="118">
        <v>99.59</v>
      </c>
      <c r="J5" s="15" t="s">
        <v>67</v>
      </c>
    </row>
    <row r="6" spans="2:10" x14ac:dyDescent="0.25">
      <c r="B6" s="144" t="s">
        <v>33</v>
      </c>
      <c r="C6" s="118">
        <v>101.95</v>
      </c>
      <c r="D6" s="118">
        <v>100.57</v>
      </c>
      <c r="E6" s="118">
        <v>98.88</v>
      </c>
      <c r="F6" s="118">
        <v>100.03</v>
      </c>
      <c r="G6" s="118">
        <v>103.38</v>
      </c>
      <c r="H6" s="118">
        <v>108.01</v>
      </c>
      <c r="I6" s="118">
        <v>112.23</v>
      </c>
      <c r="J6" s="15" t="s">
        <v>68</v>
      </c>
    </row>
    <row r="7" spans="2:10" x14ac:dyDescent="0.25">
      <c r="B7" s="144" t="s">
        <v>34</v>
      </c>
      <c r="C7" s="154">
        <v>100</v>
      </c>
      <c r="D7" s="154">
        <v>100.18</v>
      </c>
      <c r="E7" s="154">
        <v>100.67</v>
      </c>
      <c r="F7" s="154">
        <v>100.15</v>
      </c>
      <c r="G7" s="154">
        <v>100.3</v>
      </c>
      <c r="H7" s="154">
        <v>99.95</v>
      </c>
      <c r="I7" s="154">
        <v>100.18</v>
      </c>
      <c r="J7" s="15" t="s">
        <v>74</v>
      </c>
    </row>
    <row r="8" spans="2:10" x14ac:dyDescent="0.25">
      <c r="B8" s="144" t="s">
        <v>35</v>
      </c>
      <c r="C8" s="154">
        <f ca="1">'outputuri-dummy data'!C70/'outputuri-dummy data'!C70*100</f>
        <v>100</v>
      </c>
      <c r="D8" s="154">
        <f ca="1">'outputuri-dummy data'!D70/'outputuri-dummy data'!C70*100</f>
        <v>124.92962033046197</v>
      </c>
      <c r="E8" s="154">
        <f ca="1">'outputuri-dummy data'!E70/'outputuri-dummy data'!D70*100</f>
        <v>52.106563760613867</v>
      </c>
      <c r="F8" s="154">
        <f ca="1">'outputuri-dummy data'!F70/'outputuri-dummy data'!E70*100</f>
        <v>896.07499231990153</v>
      </c>
      <c r="G8" s="154">
        <f ca="1">'outputuri-dummy data'!G70/'outputuri-dummy data'!F70*100</f>
        <v>8.2968899668653417</v>
      </c>
      <c r="H8" s="154">
        <f ca="1">'outputuri-dummy data'!H70/'outputuri-dummy data'!G70*100</f>
        <v>534.85526398649915</v>
      </c>
      <c r="I8" s="154">
        <f ca="1">'outputuri-dummy data'!I70/'outputuri-dummy data'!H70*100</f>
        <v>175.33619273959661</v>
      </c>
      <c r="J8" s="15" t="s">
        <v>113</v>
      </c>
    </row>
    <row r="9" spans="2:10" x14ac:dyDescent="0.25">
      <c r="B9" s="144" t="s">
        <v>36</v>
      </c>
      <c r="C9" s="119">
        <v>101.55</v>
      </c>
      <c r="D9" s="118">
        <v>100.83</v>
      </c>
      <c r="E9" s="120">
        <v>99.07</v>
      </c>
      <c r="F9" s="118">
        <v>99.46</v>
      </c>
      <c r="G9" s="120">
        <v>103.32</v>
      </c>
      <c r="H9" s="118">
        <v>103.27</v>
      </c>
      <c r="I9" s="121">
        <v>104.04</v>
      </c>
      <c r="J9" s="15" t="s">
        <v>73</v>
      </c>
    </row>
    <row r="10" spans="2:10" x14ac:dyDescent="0.25">
      <c r="B10" s="144" t="s">
        <v>37</v>
      </c>
      <c r="C10" s="118">
        <v>101.95</v>
      </c>
      <c r="D10" s="118">
        <v>100.57</v>
      </c>
      <c r="E10" s="118">
        <v>98.88</v>
      </c>
      <c r="F10" s="118">
        <v>100.03</v>
      </c>
      <c r="G10" s="118">
        <v>103.38</v>
      </c>
      <c r="H10" s="118">
        <v>108.01</v>
      </c>
      <c r="I10" s="118">
        <v>112.23</v>
      </c>
      <c r="J10" s="15" t="s">
        <v>68</v>
      </c>
    </row>
    <row r="11" spans="2:10" x14ac:dyDescent="0.25">
      <c r="B11" s="144" t="s">
        <v>38</v>
      </c>
      <c r="C11" s="119">
        <v>101.55</v>
      </c>
      <c r="D11" s="118">
        <v>100.83</v>
      </c>
      <c r="E11" s="120">
        <v>99.07</v>
      </c>
      <c r="F11" s="118">
        <v>99.46</v>
      </c>
      <c r="G11" s="120">
        <v>103.32</v>
      </c>
      <c r="H11" s="118">
        <v>103.27</v>
      </c>
      <c r="I11" s="121">
        <v>104.04</v>
      </c>
      <c r="J11" s="15" t="s">
        <v>73</v>
      </c>
    </row>
    <row r="12" spans="2:10" x14ac:dyDescent="0.25">
      <c r="B12" s="144" t="s">
        <v>39</v>
      </c>
      <c r="C12" s="118">
        <v>107.5</v>
      </c>
      <c r="D12" s="118">
        <v>99.41</v>
      </c>
      <c r="E12" s="118">
        <v>105.37</v>
      </c>
      <c r="F12" s="118">
        <v>93.52</v>
      </c>
      <c r="G12" s="118">
        <v>107.73</v>
      </c>
      <c r="H12" s="118">
        <v>106.18</v>
      </c>
      <c r="I12" s="118">
        <v>99.59</v>
      </c>
      <c r="J12" s="15" t="s">
        <v>67</v>
      </c>
    </row>
    <row r="13" spans="2:10" x14ac:dyDescent="0.25">
      <c r="B13" s="144" t="s">
        <v>40</v>
      </c>
      <c r="C13" s="118">
        <v>101.95</v>
      </c>
      <c r="D13" s="118">
        <v>100.57</v>
      </c>
      <c r="E13" s="118">
        <v>98.88</v>
      </c>
      <c r="F13" s="118">
        <v>100.03</v>
      </c>
      <c r="G13" s="118">
        <v>103.38</v>
      </c>
      <c r="H13" s="118">
        <v>108.01</v>
      </c>
      <c r="I13" s="118">
        <v>112.23</v>
      </c>
      <c r="J13" s="15" t="s">
        <v>68</v>
      </c>
    </row>
    <row r="14" spans="2:10" x14ac:dyDescent="0.25">
      <c r="B14" s="144" t="s">
        <v>41</v>
      </c>
      <c r="C14" s="116">
        <v>103.43</v>
      </c>
      <c r="D14" s="116">
        <v>102.25</v>
      </c>
      <c r="E14" s="116">
        <v>102.41</v>
      </c>
      <c r="F14" s="116">
        <v>98.17</v>
      </c>
      <c r="G14" s="116">
        <v>100.22</v>
      </c>
      <c r="H14" s="116">
        <v>102.44</v>
      </c>
      <c r="I14" s="116">
        <v>104.16</v>
      </c>
      <c r="J14" s="15" t="s">
        <v>70</v>
      </c>
    </row>
    <row r="15" spans="2:10" x14ac:dyDescent="0.25">
      <c r="B15" s="144" t="s">
        <v>42</v>
      </c>
      <c r="C15" s="116">
        <v>103.43</v>
      </c>
      <c r="D15" s="116">
        <v>102.25</v>
      </c>
      <c r="E15" s="116">
        <v>102.41</v>
      </c>
      <c r="F15" s="116">
        <v>98.17</v>
      </c>
      <c r="G15" s="116">
        <v>100.22</v>
      </c>
      <c r="H15" s="116">
        <v>102.44</v>
      </c>
      <c r="I15" s="116">
        <v>104.16</v>
      </c>
      <c r="J15" s="15" t="s">
        <v>70</v>
      </c>
    </row>
    <row r="16" spans="2:10" x14ac:dyDescent="0.25">
      <c r="B16" s="144" t="s">
        <v>43</v>
      </c>
      <c r="C16" s="116">
        <v>100</v>
      </c>
      <c r="D16" s="116">
        <v>100</v>
      </c>
      <c r="E16" s="116">
        <v>100</v>
      </c>
      <c r="F16" s="116">
        <v>83.33</v>
      </c>
      <c r="G16" s="116">
        <v>95</v>
      </c>
      <c r="H16" s="116">
        <v>100</v>
      </c>
      <c r="I16" s="116">
        <v>100</v>
      </c>
      <c r="J16" s="15" t="s">
        <v>71</v>
      </c>
    </row>
    <row r="17" spans="2:10" x14ac:dyDescent="0.25">
      <c r="B17" s="144" t="s">
        <v>44</v>
      </c>
      <c r="C17" s="118">
        <v>101.95</v>
      </c>
      <c r="D17" s="118">
        <v>100.57</v>
      </c>
      <c r="E17" s="118">
        <v>98.88</v>
      </c>
      <c r="F17" s="118">
        <v>100.03</v>
      </c>
      <c r="G17" s="118">
        <v>103.38</v>
      </c>
      <c r="H17" s="118">
        <v>108.01</v>
      </c>
      <c r="I17" s="118">
        <v>112.23</v>
      </c>
      <c r="J17" s="15" t="s">
        <v>68</v>
      </c>
    </row>
    <row r="18" spans="2:10" x14ac:dyDescent="0.25">
      <c r="B18" s="144" t="s">
        <v>45</v>
      </c>
      <c r="C18" s="116">
        <v>100</v>
      </c>
      <c r="D18" s="116">
        <v>100</v>
      </c>
      <c r="E18" s="116">
        <v>130.69999999999999</v>
      </c>
      <c r="F18" s="116">
        <v>100</v>
      </c>
      <c r="G18" s="116">
        <v>100</v>
      </c>
      <c r="H18" s="116">
        <v>117.6</v>
      </c>
      <c r="I18" s="116">
        <v>100</v>
      </c>
      <c r="J18" s="15" t="s">
        <v>69</v>
      </c>
    </row>
    <row r="19" spans="2:10" x14ac:dyDescent="0.25">
      <c r="B19" s="144" t="s">
        <v>46</v>
      </c>
      <c r="C19" s="118">
        <v>101.95</v>
      </c>
      <c r="D19" s="118">
        <v>100.57</v>
      </c>
      <c r="E19" s="118">
        <v>98.88</v>
      </c>
      <c r="F19" s="118">
        <v>100.03</v>
      </c>
      <c r="G19" s="118">
        <v>103.38</v>
      </c>
      <c r="H19" s="118">
        <v>108.01</v>
      </c>
      <c r="I19" s="118">
        <v>112.23</v>
      </c>
      <c r="J19" s="15" t="s">
        <v>68</v>
      </c>
    </row>
    <row r="20" spans="2:10" x14ac:dyDescent="0.25">
      <c r="B20" s="144" t="s">
        <v>47</v>
      </c>
      <c r="C20" s="116">
        <v>99.84</v>
      </c>
      <c r="D20" s="116">
        <v>100.51</v>
      </c>
      <c r="E20" s="116">
        <v>101.06</v>
      </c>
      <c r="F20" s="116">
        <v>97.8</v>
      </c>
      <c r="G20" s="116">
        <v>95.63</v>
      </c>
      <c r="H20" s="116">
        <v>100.72</v>
      </c>
      <c r="I20" s="116">
        <v>105.25</v>
      </c>
      <c r="J20" s="15" t="s">
        <v>72</v>
      </c>
    </row>
    <row r="21" spans="2:10" x14ac:dyDescent="0.25">
      <c r="B21" s="144" t="s">
        <v>126</v>
      </c>
      <c r="C21" s="116">
        <v>101.55</v>
      </c>
      <c r="D21" s="116">
        <v>100.83</v>
      </c>
      <c r="E21" s="116">
        <v>99.07</v>
      </c>
      <c r="F21" s="116">
        <v>99.46</v>
      </c>
      <c r="G21" s="116">
        <v>103.32</v>
      </c>
      <c r="H21" s="116">
        <v>103.27</v>
      </c>
      <c r="I21" s="116">
        <v>104.04</v>
      </c>
      <c r="J21" s="55"/>
    </row>
    <row r="22" spans="2:10" x14ac:dyDescent="0.25">
      <c r="B22" s="144" t="s">
        <v>127</v>
      </c>
      <c r="C22" s="116">
        <v>101.95</v>
      </c>
      <c r="D22" s="116">
        <v>100.57</v>
      </c>
      <c r="E22" s="116">
        <v>98.88</v>
      </c>
      <c r="F22" s="116">
        <v>100.03</v>
      </c>
      <c r="G22" s="116">
        <v>103.38</v>
      </c>
      <c r="H22" s="116">
        <v>108.01</v>
      </c>
      <c r="I22" s="116">
        <v>112.23</v>
      </c>
      <c r="J22" s="55"/>
    </row>
    <row r="23" spans="2:10" x14ac:dyDescent="0.25">
      <c r="B23" s="144" t="s">
        <v>129</v>
      </c>
      <c r="C23" s="117">
        <v>1</v>
      </c>
      <c r="D23" s="117">
        <v>1.0084</v>
      </c>
      <c r="E23" s="117">
        <v>1.0058</v>
      </c>
      <c r="F23" s="117">
        <v>0.99539999999999995</v>
      </c>
      <c r="G23" s="117">
        <v>1.0283</v>
      </c>
      <c r="H23" s="117">
        <v>1.04</v>
      </c>
      <c r="I23" s="117">
        <v>1.0687</v>
      </c>
    </row>
    <row r="24" spans="2:10" x14ac:dyDescent="0.25">
      <c r="B24" s="25"/>
      <c r="C24" s="26"/>
      <c r="D24" s="26"/>
      <c r="E24" s="26"/>
      <c r="F24" s="26"/>
      <c r="G24" s="26"/>
      <c r="H24" s="26"/>
      <c r="I24" s="27"/>
      <c r="J24" s="6"/>
    </row>
    <row r="25" spans="2:10" x14ac:dyDescent="0.25">
      <c r="B25" s="156" t="s">
        <v>128</v>
      </c>
      <c r="C25" s="22">
        <v>2013</v>
      </c>
      <c r="D25" s="22">
        <v>2014</v>
      </c>
      <c r="E25" s="22">
        <v>2015</v>
      </c>
      <c r="F25" s="22">
        <v>2016</v>
      </c>
      <c r="G25" s="22">
        <v>2017</v>
      </c>
      <c r="H25" s="22">
        <v>2018</v>
      </c>
      <c r="I25" s="22">
        <v>2019</v>
      </c>
      <c r="J25" s="6"/>
    </row>
    <row r="26" spans="2:10" x14ac:dyDescent="0.25">
      <c r="B26" s="144" t="s">
        <v>31</v>
      </c>
      <c r="C26" s="117">
        <f t="shared" ref="C26:C45" si="0">$C4/C4</f>
        <v>1</v>
      </c>
      <c r="D26" s="117">
        <f t="shared" ref="D26:I35" si="1">C26*D4/100</f>
        <v>1.0199</v>
      </c>
      <c r="E26" s="117">
        <f t="shared" si="1"/>
        <v>1.0324447700000001</v>
      </c>
      <c r="F26" s="117">
        <f t="shared" si="1"/>
        <v>1.0356453487870001</v>
      </c>
      <c r="G26" s="117">
        <f t="shared" si="1"/>
        <v>1.0641255958786426</v>
      </c>
      <c r="H26" s="117">
        <f t="shared" si="1"/>
        <v>1.0914736236927238</v>
      </c>
      <c r="I26" s="117">
        <f t="shared" si="1"/>
        <v>1.1124299172676242</v>
      </c>
      <c r="J26" s="6"/>
    </row>
    <row r="27" spans="2:10" x14ac:dyDescent="0.25">
      <c r="B27" s="144" t="s">
        <v>32</v>
      </c>
      <c r="C27" s="117">
        <f t="shared" si="0"/>
        <v>1</v>
      </c>
      <c r="D27" s="117">
        <f t="shared" si="1"/>
        <v>0.99409999999999998</v>
      </c>
      <c r="E27" s="117">
        <f t="shared" si="1"/>
        <v>1.04748317</v>
      </c>
      <c r="F27" s="117">
        <f t="shared" si="1"/>
        <v>0.97960626058399991</v>
      </c>
      <c r="G27" s="117">
        <f t="shared" si="1"/>
        <v>1.055329824527143</v>
      </c>
      <c r="H27" s="117">
        <f t="shared" si="1"/>
        <v>1.1205492076829204</v>
      </c>
      <c r="I27" s="117">
        <f t="shared" si="1"/>
        <v>1.1159549559314206</v>
      </c>
      <c r="J27" s="6"/>
    </row>
    <row r="28" spans="2:10" x14ac:dyDescent="0.25">
      <c r="B28" s="144" t="s">
        <v>33</v>
      </c>
      <c r="C28" s="117">
        <f t="shared" si="0"/>
        <v>1</v>
      </c>
      <c r="D28" s="117">
        <f t="shared" si="1"/>
        <v>1.0057</v>
      </c>
      <c r="E28" s="117">
        <f t="shared" si="1"/>
        <v>0.99443616000000001</v>
      </c>
      <c r="F28" s="117">
        <f t="shared" si="1"/>
        <v>0.99473449084800014</v>
      </c>
      <c r="G28" s="117">
        <f t="shared" si="1"/>
        <v>1.0283565166386623</v>
      </c>
      <c r="H28" s="117">
        <f t="shared" si="1"/>
        <v>1.1107278736214192</v>
      </c>
      <c r="I28" s="117">
        <f t="shared" si="1"/>
        <v>1.2465698925653188</v>
      </c>
      <c r="J28" s="28"/>
    </row>
    <row r="29" spans="2:10" x14ac:dyDescent="0.25">
      <c r="B29" s="144" t="s">
        <v>34</v>
      </c>
      <c r="C29" s="117">
        <f t="shared" si="0"/>
        <v>1</v>
      </c>
      <c r="D29" s="117">
        <f t="shared" si="1"/>
        <v>1.0018</v>
      </c>
      <c r="E29" s="117">
        <f t="shared" si="1"/>
        <v>1.0085120600000002</v>
      </c>
      <c r="F29" s="117">
        <f t="shared" si="1"/>
        <v>1.0100248280900002</v>
      </c>
      <c r="G29" s="117">
        <f t="shared" si="1"/>
        <v>1.0130549025742701</v>
      </c>
      <c r="H29" s="117">
        <f t="shared" si="1"/>
        <v>1.0125483751229829</v>
      </c>
      <c r="I29" s="117">
        <f t="shared" si="1"/>
        <v>1.0143709621982042</v>
      </c>
      <c r="J29" s="6"/>
    </row>
    <row r="30" spans="2:10" x14ac:dyDescent="0.25">
      <c r="B30" s="144" t="s">
        <v>35</v>
      </c>
      <c r="C30" s="117">
        <f t="shared" ca="1" si="0"/>
        <v>1</v>
      </c>
      <c r="D30" s="117">
        <f t="shared" ca="1" si="1"/>
        <v>1.2492962033046198</v>
      </c>
      <c r="E30" s="117">
        <f t="shared" ca="1" si="1"/>
        <v>0.65096532273384999</v>
      </c>
      <c r="F30" s="117">
        <f t="shared" ca="1" si="1"/>
        <v>5.8331374656925687</v>
      </c>
      <c r="G30" s="117">
        <f t="shared" ca="1" si="1"/>
        <v>0.48396899714451003</v>
      </c>
      <c r="H30" s="117">
        <f t="shared" ca="1" si="1"/>
        <v>2.5885336572900814</v>
      </c>
      <c r="I30" s="117">
        <f t="shared" ca="1" si="1"/>
        <v>4.5386363624754669</v>
      </c>
      <c r="J30" s="6"/>
    </row>
    <row r="31" spans="2:10" x14ac:dyDescent="0.25">
      <c r="B31" s="144" t="s">
        <v>36</v>
      </c>
      <c r="C31" s="117">
        <f t="shared" si="0"/>
        <v>1</v>
      </c>
      <c r="D31" s="117">
        <f t="shared" si="1"/>
        <v>1.0083</v>
      </c>
      <c r="E31" s="117">
        <f t="shared" si="1"/>
        <v>0.99892280999999994</v>
      </c>
      <c r="F31" s="117">
        <f t="shared" si="1"/>
        <v>0.99352862682599996</v>
      </c>
      <c r="G31" s="117">
        <f t="shared" si="1"/>
        <v>1.0265137772366231</v>
      </c>
      <c r="H31" s="117">
        <f t="shared" si="1"/>
        <v>1.0600807777522605</v>
      </c>
      <c r="I31" s="117">
        <f t="shared" si="1"/>
        <v>1.102908041173452</v>
      </c>
      <c r="J31" s="6"/>
    </row>
    <row r="32" spans="2:10" x14ac:dyDescent="0.25">
      <c r="B32" s="144" t="s">
        <v>37</v>
      </c>
      <c r="C32" s="117">
        <f t="shared" si="0"/>
        <v>1</v>
      </c>
      <c r="D32" s="117">
        <f t="shared" si="1"/>
        <v>1.0057</v>
      </c>
      <c r="E32" s="117">
        <f t="shared" si="1"/>
        <v>0.99443616000000001</v>
      </c>
      <c r="F32" s="117">
        <f t="shared" si="1"/>
        <v>0.99473449084800014</v>
      </c>
      <c r="G32" s="117">
        <f t="shared" si="1"/>
        <v>1.0283565166386623</v>
      </c>
      <c r="H32" s="117">
        <f t="shared" si="1"/>
        <v>1.1107278736214192</v>
      </c>
      <c r="I32" s="117">
        <f t="shared" si="1"/>
        <v>1.2465698925653188</v>
      </c>
      <c r="J32" s="6"/>
    </row>
    <row r="33" spans="2:10" x14ac:dyDescent="0.25">
      <c r="B33" s="144" t="s">
        <v>38</v>
      </c>
      <c r="C33" s="117">
        <f t="shared" si="0"/>
        <v>1</v>
      </c>
      <c r="D33" s="117">
        <f t="shared" si="1"/>
        <v>1.0083</v>
      </c>
      <c r="E33" s="117">
        <f t="shared" si="1"/>
        <v>0.99892280999999994</v>
      </c>
      <c r="F33" s="117">
        <f t="shared" si="1"/>
        <v>0.99352862682599996</v>
      </c>
      <c r="G33" s="117">
        <f t="shared" si="1"/>
        <v>1.0265137772366231</v>
      </c>
      <c r="H33" s="117">
        <f t="shared" si="1"/>
        <v>1.0600807777522605</v>
      </c>
      <c r="I33" s="117">
        <f t="shared" si="1"/>
        <v>1.102908041173452</v>
      </c>
      <c r="J33" s="6"/>
    </row>
    <row r="34" spans="2:10" x14ac:dyDescent="0.25">
      <c r="B34" s="144" t="s">
        <v>39</v>
      </c>
      <c r="C34" s="117">
        <f t="shared" si="0"/>
        <v>1</v>
      </c>
      <c r="D34" s="117">
        <f t="shared" si="1"/>
        <v>0.99409999999999998</v>
      </c>
      <c r="E34" s="117">
        <f t="shared" si="1"/>
        <v>1.04748317</v>
      </c>
      <c r="F34" s="117">
        <f t="shared" si="1"/>
        <v>0.97960626058399991</v>
      </c>
      <c r="G34" s="117">
        <f t="shared" si="1"/>
        <v>1.055329824527143</v>
      </c>
      <c r="H34" s="117">
        <f t="shared" si="1"/>
        <v>1.1205492076829204</v>
      </c>
      <c r="I34" s="117">
        <f t="shared" si="1"/>
        <v>1.1159549559314206</v>
      </c>
      <c r="J34" s="6"/>
    </row>
    <row r="35" spans="2:10" x14ac:dyDescent="0.25">
      <c r="B35" s="144" t="s">
        <v>40</v>
      </c>
      <c r="C35" s="117">
        <f t="shared" si="0"/>
        <v>1</v>
      </c>
      <c r="D35" s="117">
        <f t="shared" si="1"/>
        <v>1.0057</v>
      </c>
      <c r="E35" s="117">
        <f t="shared" si="1"/>
        <v>0.99443616000000001</v>
      </c>
      <c r="F35" s="117">
        <f t="shared" si="1"/>
        <v>0.99473449084800014</v>
      </c>
      <c r="G35" s="117">
        <f t="shared" si="1"/>
        <v>1.0283565166386623</v>
      </c>
      <c r="H35" s="117">
        <f t="shared" si="1"/>
        <v>1.1107278736214192</v>
      </c>
      <c r="I35" s="117">
        <f t="shared" si="1"/>
        <v>1.2465698925653188</v>
      </c>
      <c r="J35" s="6"/>
    </row>
    <row r="36" spans="2:10" x14ac:dyDescent="0.25">
      <c r="B36" s="144" t="s">
        <v>41</v>
      </c>
      <c r="C36" s="117">
        <f t="shared" si="0"/>
        <v>1</v>
      </c>
      <c r="D36" s="117">
        <f t="shared" ref="D36:I44" si="2">C36*D14/100</f>
        <v>1.0225</v>
      </c>
      <c r="E36" s="117">
        <f t="shared" si="2"/>
        <v>1.0471422500000001</v>
      </c>
      <c r="F36" s="117">
        <f t="shared" si="2"/>
        <v>1.0279795468250001</v>
      </c>
      <c r="G36" s="117">
        <f t="shared" si="2"/>
        <v>1.0302411018280151</v>
      </c>
      <c r="H36" s="117">
        <f t="shared" si="2"/>
        <v>1.0553789847126187</v>
      </c>
      <c r="I36" s="117">
        <f t="shared" si="2"/>
        <v>1.0992827504766636</v>
      </c>
      <c r="J36" s="6"/>
    </row>
    <row r="37" spans="2:10" x14ac:dyDescent="0.25">
      <c r="B37" s="144" t="s">
        <v>42</v>
      </c>
      <c r="C37" s="117">
        <f t="shared" si="0"/>
        <v>1</v>
      </c>
      <c r="D37" s="117">
        <f t="shared" si="2"/>
        <v>1.0225</v>
      </c>
      <c r="E37" s="117">
        <f t="shared" si="2"/>
        <v>1.0471422500000001</v>
      </c>
      <c r="F37" s="117">
        <f t="shared" si="2"/>
        <v>1.0279795468250001</v>
      </c>
      <c r="G37" s="117">
        <f t="shared" si="2"/>
        <v>1.0302411018280151</v>
      </c>
      <c r="H37" s="117">
        <f t="shared" si="2"/>
        <v>1.0553789847126187</v>
      </c>
      <c r="I37" s="117">
        <f t="shared" si="2"/>
        <v>1.0992827504766636</v>
      </c>
      <c r="J37" s="6"/>
    </row>
    <row r="38" spans="2:10" x14ac:dyDescent="0.25">
      <c r="B38" s="144" t="s">
        <v>43</v>
      </c>
      <c r="C38" s="117">
        <f t="shared" si="0"/>
        <v>1</v>
      </c>
      <c r="D38" s="117">
        <f t="shared" si="2"/>
        <v>1</v>
      </c>
      <c r="E38" s="117">
        <f t="shared" si="2"/>
        <v>1</v>
      </c>
      <c r="F38" s="117">
        <f t="shared" si="2"/>
        <v>0.83329999999999993</v>
      </c>
      <c r="G38" s="117">
        <f t="shared" si="2"/>
        <v>0.79163499999999998</v>
      </c>
      <c r="H38" s="117">
        <f t="shared" si="2"/>
        <v>0.79163499999999998</v>
      </c>
      <c r="I38" s="117">
        <f t="shared" si="2"/>
        <v>0.79163499999999998</v>
      </c>
      <c r="J38" s="6"/>
    </row>
    <row r="39" spans="2:10" x14ac:dyDescent="0.25">
      <c r="B39" s="144" t="s">
        <v>44</v>
      </c>
      <c r="C39" s="117">
        <f t="shared" si="0"/>
        <v>1</v>
      </c>
      <c r="D39" s="117">
        <f t="shared" si="2"/>
        <v>1.0057</v>
      </c>
      <c r="E39" s="117">
        <f t="shared" si="2"/>
        <v>0.99443616000000001</v>
      </c>
      <c r="F39" s="117">
        <f t="shared" si="2"/>
        <v>0.99473449084800014</v>
      </c>
      <c r="G39" s="117">
        <f t="shared" si="2"/>
        <v>1.0283565166386623</v>
      </c>
      <c r="H39" s="117">
        <f t="shared" si="2"/>
        <v>1.1107278736214192</v>
      </c>
      <c r="I39" s="117">
        <f t="shared" si="2"/>
        <v>1.2465698925653188</v>
      </c>
      <c r="J39" s="6"/>
    </row>
    <row r="40" spans="2:10" x14ac:dyDescent="0.25">
      <c r="B40" s="144" t="s">
        <v>45</v>
      </c>
      <c r="C40" s="117">
        <f t="shared" si="0"/>
        <v>1</v>
      </c>
      <c r="D40" s="117">
        <f t="shared" si="2"/>
        <v>1</v>
      </c>
      <c r="E40" s="117">
        <f t="shared" si="2"/>
        <v>1.3069999999999999</v>
      </c>
      <c r="F40" s="117">
        <f t="shared" si="2"/>
        <v>1.3069999999999999</v>
      </c>
      <c r="G40" s="117">
        <f t="shared" si="2"/>
        <v>1.3069999999999999</v>
      </c>
      <c r="H40" s="117">
        <f t="shared" si="2"/>
        <v>1.5370319999999997</v>
      </c>
      <c r="I40" s="117">
        <f t="shared" si="2"/>
        <v>1.5370319999999997</v>
      </c>
      <c r="J40" s="6"/>
    </row>
    <row r="41" spans="2:10" x14ac:dyDescent="0.25">
      <c r="B41" s="144" t="s">
        <v>46</v>
      </c>
      <c r="C41" s="117">
        <f t="shared" si="0"/>
        <v>1</v>
      </c>
      <c r="D41" s="117">
        <f t="shared" si="2"/>
        <v>1.0057</v>
      </c>
      <c r="E41" s="117">
        <f t="shared" si="2"/>
        <v>0.99443616000000001</v>
      </c>
      <c r="F41" s="117">
        <f t="shared" si="2"/>
        <v>0.99473449084800014</v>
      </c>
      <c r="G41" s="117">
        <f t="shared" si="2"/>
        <v>1.0283565166386623</v>
      </c>
      <c r="H41" s="117">
        <f t="shared" si="2"/>
        <v>1.1107278736214192</v>
      </c>
      <c r="I41" s="117">
        <f t="shared" si="2"/>
        <v>1.2465698925653188</v>
      </c>
      <c r="J41" s="6"/>
    </row>
    <row r="42" spans="2:10" x14ac:dyDescent="0.25">
      <c r="B42" s="144" t="s">
        <v>47</v>
      </c>
      <c r="C42" s="117">
        <f t="shared" si="0"/>
        <v>1</v>
      </c>
      <c r="D42" s="117">
        <f t="shared" si="2"/>
        <v>1.0051000000000001</v>
      </c>
      <c r="E42" s="117">
        <f t="shared" si="2"/>
        <v>1.0157540600000001</v>
      </c>
      <c r="F42" s="117">
        <f t="shared" si="2"/>
        <v>0.99340747068000013</v>
      </c>
      <c r="G42" s="117">
        <f t="shared" si="2"/>
        <v>0.94999556421128406</v>
      </c>
      <c r="H42" s="117">
        <f t="shared" si="2"/>
        <v>0.95683553227360529</v>
      </c>
      <c r="I42" s="117">
        <f t="shared" si="2"/>
        <v>1.0070693977179694</v>
      </c>
      <c r="J42" s="6"/>
    </row>
    <row r="43" spans="2:10" x14ac:dyDescent="0.25">
      <c r="B43" s="144" t="s">
        <v>126</v>
      </c>
      <c r="C43" s="117">
        <f>$C21/C21</f>
        <v>1</v>
      </c>
      <c r="D43" s="117">
        <f>C43*D21/100</f>
        <v>1.0083</v>
      </c>
      <c r="E43" s="117">
        <f t="shared" si="2"/>
        <v>0.99892280999999994</v>
      </c>
      <c r="F43" s="117">
        <f t="shared" si="2"/>
        <v>0.99352862682599996</v>
      </c>
      <c r="G43" s="117">
        <f t="shared" si="2"/>
        <v>1.0265137772366231</v>
      </c>
      <c r="H43" s="117">
        <f t="shared" si="2"/>
        <v>1.0600807777522605</v>
      </c>
      <c r="I43" s="117">
        <f t="shared" si="2"/>
        <v>1.102908041173452</v>
      </c>
      <c r="J43" s="28"/>
    </row>
    <row r="44" spans="2:10" x14ac:dyDescent="0.25">
      <c r="B44" s="144" t="s">
        <v>127</v>
      </c>
      <c r="C44" s="117">
        <f t="shared" si="0"/>
        <v>1</v>
      </c>
      <c r="D44" s="117">
        <f t="shared" si="2"/>
        <v>1.0057</v>
      </c>
      <c r="E44" s="117">
        <f t="shared" si="2"/>
        <v>0.99443616000000001</v>
      </c>
      <c r="F44" s="117">
        <f t="shared" si="2"/>
        <v>0.99473449084800014</v>
      </c>
      <c r="G44" s="117">
        <f t="shared" si="2"/>
        <v>1.0283565166386623</v>
      </c>
      <c r="H44" s="117">
        <f t="shared" si="2"/>
        <v>1.1107278736214192</v>
      </c>
      <c r="I44" s="117">
        <f t="shared" si="2"/>
        <v>1.2465698925653188</v>
      </c>
    </row>
    <row r="45" spans="2:10" x14ac:dyDescent="0.25">
      <c r="B45" s="144" t="s">
        <v>129</v>
      </c>
      <c r="C45" s="157">
        <f t="shared" si="0"/>
        <v>1</v>
      </c>
      <c r="D45" s="157">
        <f t="shared" ref="D45:I45" si="3">C45*D23</f>
        <v>1.0084</v>
      </c>
      <c r="E45" s="157">
        <f t="shared" si="3"/>
        <v>1.0142487199999999</v>
      </c>
      <c r="F45" s="157">
        <f t="shared" si="3"/>
        <v>1.0095831758879998</v>
      </c>
      <c r="G45" s="157">
        <f t="shared" si="3"/>
        <v>1.0381543797656303</v>
      </c>
      <c r="H45" s="157">
        <f t="shared" si="3"/>
        <v>1.0796805549562556</v>
      </c>
      <c r="I45" s="117">
        <f t="shared" si="3"/>
        <v>1.1538546090817503</v>
      </c>
    </row>
    <row r="48" spans="2:10" x14ac:dyDescent="0.25">
      <c r="C48" s="150"/>
      <c r="D48" s="150"/>
      <c r="E48" s="150"/>
      <c r="F48" s="150"/>
      <c r="G48" s="150"/>
      <c r="H48" s="150"/>
      <c r="I48" s="150"/>
      <c r="J48" s="151"/>
    </row>
  </sheetData>
  <phoneticPr fontId="7" type="noConversion"/>
  <pageMargins left="0.75" right="0.75" top="1" bottom="1" header="0.4921259845" footer="0.49212598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B1:J26"/>
  <sheetViews>
    <sheetView tabSelected="1" zoomScaleNormal="100" workbookViewId="0">
      <selection activeCell="H20" sqref="H20"/>
    </sheetView>
  </sheetViews>
  <sheetFormatPr defaultColWidth="9.109375" defaultRowHeight="13.2" x14ac:dyDescent="0.25"/>
  <cols>
    <col min="1" max="1" width="3.6640625" style="1" customWidth="1"/>
    <col min="2" max="2" width="45.6640625" style="1" customWidth="1"/>
    <col min="3" max="4" width="13.88671875" style="1" bestFit="1" customWidth="1"/>
    <col min="5" max="5" width="13.5546875" style="1" bestFit="1" customWidth="1"/>
    <col min="6" max="7" width="13.88671875" style="1" bestFit="1" customWidth="1"/>
    <col min="8" max="8" width="15.5546875" style="1" bestFit="1" customWidth="1"/>
    <col min="9" max="9" width="13.88671875" style="1" bestFit="1" customWidth="1"/>
    <col min="10" max="16384" width="9.109375" style="1"/>
  </cols>
  <sheetData>
    <row r="1" spans="2:10" ht="27" customHeight="1" x14ac:dyDescent="0.25">
      <c r="B1" s="87" t="s">
        <v>77</v>
      </c>
      <c r="C1" s="7"/>
      <c r="D1" s="7"/>
      <c r="E1" s="7"/>
      <c r="F1" s="7"/>
      <c r="G1" s="7"/>
      <c r="H1" s="7"/>
      <c r="I1" s="7"/>
    </row>
    <row r="2" spans="2:10" x14ac:dyDescent="0.25">
      <c r="B2" s="75" t="s">
        <v>60</v>
      </c>
      <c r="C2" s="32"/>
      <c r="D2" s="32"/>
      <c r="E2" s="32"/>
      <c r="F2" s="32"/>
      <c r="G2" s="32"/>
      <c r="H2" s="32"/>
      <c r="I2" s="32"/>
      <c r="J2" s="171"/>
    </row>
    <row r="3" spans="2:10" x14ac:dyDescent="0.25">
      <c r="B3" s="33"/>
      <c r="C3" s="34">
        <v>2013</v>
      </c>
      <c r="D3" s="34">
        <v>2014</v>
      </c>
      <c r="E3" s="34">
        <v>2015</v>
      </c>
      <c r="F3" s="34">
        <v>2016</v>
      </c>
      <c r="G3" s="34">
        <v>2017</v>
      </c>
      <c r="H3" s="34">
        <v>2018</v>
      </c>
      <c r="I3" s="34">
        <v>2019</v>
      </c>
      <c r="J3" s="170"/>
    </row>
    <row r="4" spans="2:10" x14ac:dyDescent="0.25">
      <c r="B4" s="35" t="s">
        <v>22</v>
      </c>
      <c r="C4" s="187">
        <v>28866</v>
      </c>
      <c r="D4" s="187">
        <v>25240</v>
      </c>
      <c r="E4" s="187">
        <v>24814</v>
      </c>
      <c r="F4" s="187">
        <v>24240</v>
      </c>
      <c r="G4" s="187">
        <v>23411</v>
      </c>
      <c r="H4" s="187">
        <v>23404</v>
      </c>
      <c r="I4" s="188">
        <v>23198</v>
      </c>
      <c r="J4" s="170"/>
    </row>
    <row r="5" spans="2:10" x14ac:dyDescent="0.25">
      <c r="B5" s="5" t="s">
        <v>170</v>
      </c>
      <c r="C5" s="209">
        <f ca="1">RAND()*1000000</f>
        <v>378763.06257539615</v>
      </c>
      <c r="D5" s="209">
        <f t="shared" ref="D5:I5" ca="1" si="0">RAND()*1000000</f>
        <v>987957.25282299705</v>
      </c>
      <c r="E5" s="209">
        <f t="shared" ca="1" si="0"/>
        <v>961565.69570359809</v>
      </c>
      <c r="F5" s="209">
        <f t="shared" ca="1" si="0"/>
        <v>145639.67468415861</v>
      </c>
      <c r="G5" s="209">
        <f t="shared" ca="1" si="0"/>
        <v>156431.26642577944</v>
      </c>
      <c r="H5" s="209">
        <f t="shared" ca="1" si="0"/>
        <v>757272.3708742751</v>
      </c>
      <c r="I5" s="209">
        <f t="shared" ca="1" si="0"/>
        <v>291150.89229277137</v>
      </c>
    </row>
    <row r="6" spans="2:10" x14ac:dyDescent="0.25">
      <c r="B6" s="6"/>
      <c r="C6" s="6"/>
      <c r="D6" s="6"/>
      <c r="E6" s="6"/>
      <c r="F6" s="6"/>
      <c r="G6" s="6"/>
      <c r="H6" s="6"/>
      <c r="I6" s="6"/>
    </row>
    <row r="7" spans="2:10" x14ac:dyDescent="0.25">
      <c r="B7" s="75" t="s">
        <v>115</v>
      </c>
      <c r="C7" s="36"/>
      <c r="D7" s="36"/>
      <c r="E7" s="36"/>
      <c r="F7" s="36"/>
      <c r="G7" s="36"/>
      <c r="H7" s="36"/>
      <c r="I7" s="36"/>
    </row>
    <row r="8" spans="2:10" x14ac:dyDescent="0.25">
      <c r="B8" s="18" t="s">
        <v>116</v>
      </c>
      <c r="C8" s="299">
        <f t="shared" ref="C8:I8" ca="1" si="1">C5/C4</f>
        <v>13.121425295343871</v>
      </c>
      <c r="D8" s="299">
        <f ca="1">D5/D4</f>
        <v>39.142521902654401</v>
      </c>
      <c r="E8" s="299">
        <f t="shared" ca="1" si="1"/>
        <v>38.750934782928915</v>
      </c>
      <c r="F8" s="299">
        <f t="shared" ca="1" si="1"/>
        <v>6.0082374044619886</v>
      </c>
      <c r="G8" s="299">
        <f t="shared" ca="1" si="1"/>
        <v>6.6819557654854318</v>
      </c>
      <c r="H8" s="299">
        <f t="shared" ca="1" si="1"/>
        <v>32.356536099567386</v>
      </c>
      <c r="I8" s="299">
        <f t="shared" ca="1" si="1"/>
        <v>12.5506893823938</v>
      </c>
    </row>
    <row r="9" spans="2:10" x14ac:dyDescent="0.25">
      <c r="B9" s="3" t="s">
        <v>78</v>
      </c>
      <c r="C9" s="300">
        <f ca="1">C8/$C$8</f>
        <v>1</v>
      </c>
      <c r="D9" s="300">
        <f ca="1">D8/$C$8</f>
        <v>2.9830998555121981</v>
      </c>
      <c r="E9" s="300">
        <f t="shared" ref="E9:I9" ca="1" si="2">E8/$C$8</f>
        <v>2.9532565183051922</v>
      </c>
      <c r="F9" s="300">
        <f t="shared" ca="1" si="2"/>
        <v>0.45789518053301786</v>
      </c>
      <c r="G9" s="300">
        <f t="shared" ca="1" si="2"/>
        <v>0.50924008749693672</v>
      </c>
      <c r="H9" s="300">
        <f t="shared" ca="1" si="2"/>
        <v>2.4659315105843786</v>
      </c>
      <c r="I9" s="301">
        <f t="shared" ca="1" si="2"/>
        <v>0.95650351237737907</v>
      </c>
    </row>
    <row r="10" spans="2:10" x14ac:dyDescent="0.25">
      <c r="B10" s="3" t="s">
        <v>79</v>
      </c>
      <c r="C10" s="302">
        <v>0.01</v>
      </c>
      <c r="D10" s="303">
        <f ca="1">LN(D9/C9)</f>
        <v>1.092962979833956</v>
      </c>
      <c r="E10" s="303">
        <f ca="1">LN(E9/D9)</f>
        <v>-1.0054513826539709E-2</v>
      </c>
      <c r="F10" s="303">
        <f t="shared" ref="F10:I10" ca="1" si="3">LN(F9/E9)</f>
        <v>-1.8640234505336342</v>
      </c>
      <c r="G10" s="303">
        <f t="shared" ca="1" si="3"/>
        <v>0.10627929555617521</v>
      </c>
      <c r="H10" s="303">
        <f t="shared" ca="1" si="3"/>
        <v>1.5774053198408513</v>
      </c>
      <c r="I10" s="304">
        <f t="shared" ca="1" si="3"/>
        <v>-0.94704044886502692</v>
      </c>
    </row>
    <row r="11" spans="2:10" x14ac:dyDescent="0.25">
      <c r="B11" s="3" t="s">
        <v>80</v>
      </c>
      <c r="C11" s="16">
        <f>1</f>
        <v>1</v>
      </c>
      <c r="D11" s="29">
        <f>D4/$C$4</f>
        <v>0.87438508972493589</v>
      </c>
      <c r="E11" s="29">
        <f>E4/$C$4</f>
        <v>0.85962724312339778</v>
      </c>
      <c r="F11" s="29">
        <f t="shared" ref="F11:I11" si="4">F4/$C$4</f>
        <v>0.83974225732695906</v>
      </c>
      <c r="G11" s="29">
        <f t="shared" si="4"/>
        <v>0.81102334926903619</v>
      </c>
      <c r="H11" s="29">
        <f t="shared" si="4"/>
        <v>0.81078084944225037</v>
      </c>
      <c r="I11" s="37">
        <f t="shared" si="4"/>
        <v>0.80364442596826713</v>
      </c>
    </row>
    <row r="12" spans="2:10" x14ac:dyDescent="0.25">
      <c r="B12" s="143" t="s">
        <v>81</v>
      </c>
      <c r="C12" s="83">
        <v>0</v>
      </c>
      <c r="D12" s="83">
        <f>LN(D11/C11)</f>
        <v>-0.13423439427235925</v>
      </c>
      <c r="E12" s="83">
        <f>LN(E11/D11)</f>
        <v>-1.7022027652332548E-2</v>
      </c>
      <c r="F12" s="83">
        <f t="shared" ref="F12:H12" si="5">LN(F11/E11)</f>
        <v>-2.3403848819566118E-2</v>
      </c>
      <c r="G12" s="83">
        <f t="shared" si="5"/>
        <v>-3.4798163822932784E-2</v>
      </c>
      <c r="H12" s="83">
        <f t="shared" si="5"/>
        <v>-2.9904945219130915E-4</v>
      </c>
      <c r="I12" s="84">
        <f>LN(I11/H11)</f>
        <v>-8.8408798663051798E-3</v>
      </c>
    </row>
    <row r="13" spans="2:10" s="155" customFormat="1" x14ac:dyDescent="0.25">
      <c r="B13" s="1"/>
      <c r="C13" s="1"/>
      <c r="D13" s="1"/>
      <c r="E13" s="1"/>
      <c r="F13" s="1"/>
      <c r="G13" s="1"/>
      <c r="H13" s="1"/>
      <c r="I13" s="1"/>
    </row>
    <row r="14" spans="2:10" s="155" customFormat="1" x14ac:dyDescent="0.25">
      <c r="B14" s="1"/>
      <c r="C14" s="1"/>
      <c r="D14" s="1"/>
      <c r="E14" s="1"/>
      <c r="F14" s="1"/>
      <c r="G14" s="1"/>
      <c r="H14" s="1"/>
      <c r="I14" s="1"/>
    </row>
    <row r="15" spans="2:10" s="155" customFormat="1" x14ac:dyDescent="0.25">
      <c r="B15" s="1"/>
      <c r="C15" s="1"/>
      <c r="D15" s="1"/>
      <c r="E15" s="1"/>
      <c r="F15" s="1"/>
      <c r="G15" s="1"/>
      <c r="H15" s="1"/>
      <c r="I15" s="1"/>
    </row>
    <row r="18" spans="3:9" x14ac:dyDescent="0.25">
      <c r="C18" s="176"/>
    </row>
    <row r="19" spans="3:9" x14ac:dyDescent="0.25">
      <c r="H19" s="167"/>
      <c r="I19" s="167"/>
    </row>
    <row r="20" spans="3:9" x14ac:dyDescent="0.25">
      <c r="H20" s="167"/>
      <c r="I20" s="167"/>
    </row>
    <row r="21" spans="3:9" x14ac:dyDescent="0.25">
      <c r="H21" s="167"/>
      <c r="I21" s="167"/>
    </row>
    <row r="22" spans="3:9" x14ac:dyDescent="0.25">
      <c r="H22" s="167"/>
      <c r="I22" s="167"/>
    </row>
    <row r="25" spans="3:9" x14ac:dyDescent="0.25">
      <c r="H25" s="173"/>
    </row>
    <row r="26" spans="3:9" x14ac:dyDescent="0.25">
      <c r="H26" s="173"/>
    </row>
  </sheetData>
  <phoneticPr fontId="0" type="noConversion"/>
  <pageMargins left="0.75" right="0.75" top="1" bottom="1" header="0.5" footer="0.5"/>
  <pageSetup paperSize="9" scale="67" orientation="landscape" r:id="rId1"/>
  <headerFooter alignWithMargins="0"/>
  <ignoredErrors>
    <ignoredError sqref="D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B1:J8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9" width="14.33203125" style="23" bestFit="1" customWidth="1"/>
    <col min="10" max="10" width="15" style="23" bestFit="1" customWidth="1"/>
    <col min="11" max="16384" width="11.44140625" style="23"/>
  </cols>
  <sheetData>
    <row r="1" spans="2:10" ht="27" customHeight="1" x14ac:dyDescent="0.25">
      <c r="B1" s="88" t="s">
        <v>5</v>
      </c>
      <c r="C1" s="6"/>
      <c r="D1" s="6"/>
      <c r="E1" s="6"/>
      <c r="F1" s="6"/>
      <c r="G1" s="6"/>
      <c r="H1" s="6"/>
      <c r="I1" s="6"/>
    </row>
    <row r="2" spans="2:10" x14ac:dyDescent="0.25">
      <c r="B2" s="75" t="s">
        <v>83</v>
      </c>
      <c r="C2" s="36"/>
      <c r="D2" s="36"/>
      <c r="E2" s="36"/>
      <c r="F2" s="36"/>
      <c r="G2" s="36"/>
      <c r="H2" s="36"/>
      <c r="I2" s="36"/>
    </row>
    <row r="3" spans="2:10" x14ac:dyDescent="0.25">
      <c r="B3" s="48" t="s">
        <v>23</v>
      </c>
      <c r="C3" s="45">
        <v>2013</v>
      </c>
      <c r="D3" s="45">
        <v>2014</v>
      </c>
      <c r="E3" s="45">
        <v>2015</v>
      </c>
      <c r="F3" s="45">
        <v>2016</v>
      </c>
      <c r="G3" s="45">
        <v>2017</v>
      </c>
      <c r="H3" s="45">
        <v>2018</v>
      </c>
      <c r="I3" s="45">
        <v>2019</v>
      </c>
    </row>
    <row r="4" spans="2:10" x14ac:dyDescent="0.25">
      <c r="B4" s="38" t="s">
        <v>24</v>
      </c>
      <c r="C4" s="210">
        <f ca="1">RAND()*1000000</f>
        <v>631433.72086646024</v>
      </c>
      <c r="D4" s="210">
        <f t="shared" ref="D4:I4" ca="1" si="0">RAND()*1000000</f>
        <v>273582.40756913787</v>
      </c>
      <c r="E4" s="210">
        <f t="shared" ca="1" si="0"/>
        <v>901060.07934538741</v>
      </c>
      <c r="F4" s="210">
        <f t="shared" ca="1" si="0"/>
        <v>249681.54435647393</v>
      </c>
      <c r="G4" s="210">
        <f t="shared" ca="1" si="0"/>
        <v>343374.85009067028</v>
      </c>
      <c r="H4" s="210">
        <f t="shared" ca="1" si="0"/>
        <v>427080.12177624012</v>
      </c>
      <c r="I4" s="210">
        <f t="shared" ca="1" si="0"/>
        <v>182102.46546533427</v>
      </c>
    </row>
    <row r="5" spans="2:10" x14ac:dyDescent="0.25">
      <c r="B5" s="3" t="s">
        <v>31</v>
      </c>
      <c r="C5" s="210">
        <f t="shared" ref="C5:I21" ca="1" si="1">RAND()*1000000</f>
        <v>39388.348619420198</v>
      </c>
      <c r="D5" s="210">
        <f t="shared" ca="1" si="1"/>
        <v>218483.25888166131</v>
      </c>
      <c r="E5" s="210">
        <f t="shared" ca="1" si="1"/>
        <v>170116.14635459305</v>
      </c>
      <c r="F5" s="210">
        <f t="shared" ca="1" si="1"/>
        <v>869356.70012469753</v>
      </c>
      <c r="G5" s="210">
        <f t="shared" ca="1" si="1"/>
        <v>310828.88355013373</v>
      </c>
      <c r="H5" s="210">
        <f t="shared" ca="1" si="1"/>
        <v>685488.18640162004</v>
      </c>
      <c r="I5" s="210">
        <f t="shared" ca="1" si="1"/>
        <v>655729.77543000109</v>
      </c>
      <c r="J5" s="174"/>
    </row>
    <row r="6" spans="2:10" x14ac:dyDescent="0.25">
      <c r="B6" s="3" t="s">
        <v>32</v>
      </c>
      <c r="C6" s="210">
        <f t="shared" ca="1" si="1"/>
        <v>353758.27401570079</v>
      </c>
      <c r="D6" s="210">
        <f t="shared" ca="1" si="1"/>
        <v>93214.14001501583</v>
      </c>
      <c r="E6" s="210">
        <f t="shared" ca="1" si="1"/>
        <v>802342.66463071504</v>
      </c>
      <c r="F6" s="210">
        <f t="shared" ca="1" si="1"/>
        <v>352885.6702784092</v>
      </c>
      <c r="G6" s="210">
        <f t="shared" ca="1" si="1"/>
        <v>187344.11989633305</v>
      </c>
      <c r="H6" s="210">
        <f t="shared" ca="1" si="1"/>
        <v>290541.86108683975</v>
      </c>
      <c r="I6" s="210">
        <f t="shared" ca="1" si="1"/>
        <v>292356.28104299994</v>
      </c>
      <c r="J6" s="174"/>
    </row>
    <row r="7" spans="2:10" x14ac:dyDescent="0.25">
      <c r="B7" s="3" t="s">
        <v>33</v>
      </c>
      <c r="C7" s="210">
        <f t="shared" ca="1" si="1"/>
        <v>824891.77661841281</v>
      </c>
      <c r="D7" s="210">
        <f t="shared" ca="1" si="1"/>
        <v>989394.00266509468</v>
      </c>
      <c r="E7" s="210">
        <f t="shared" ca="1" si="1"/>
        <v>246519.16889808889</v>
      </c>
      <c r="F7" s="210">
        <f t="shared" ca="1" si="1"/>
        <v>212268.0090407797</v>
      </c>
      <c r="G7" s="210">
        <f t="shared" ca="1" si="1"/>
        <v>946699.34835838142</v>
      </c>
      <c r="H7" s="210">
        <f t="shared" ca="1" si="1"/>
        <v>522784.22323919728</v>
      </c>
      <c r="I7" s="210">
        <f t="shared" ca="1" si="1"/>
        <v>53847.123449275445</v>
      </c>
      <c r="J7" s="174"/>
    </row>
    <row r="8" spans="2:10" x14ac:dyDescent="0.25">
      <c r="B8" s="3" t="s">
        <v>34</v>
      </c>
      <c r="C8" s="210">
        <f t="shared" ca="1" si="1"/>
        <v>568826.15946077963</v>
      </c>
      <c r="D8" s="210">
        <f t="shared" ca="1" si="1"/>
        <v>409099.97725705249</v>
      </c>
      <c r="E8" s="210">
        <f t="shared" ca="1" si="1"/>
        <v>600889.02036972181</v>
      </c>
      <c r="F8" s="210">
        <f t="shared" ca="1" si="1"/>
        <v>388.59849422401282</v>
      </c>
      <c r="G8" s="210">
        <f t="shared" ca="1" si="1"/>
        <v>418916.58968974923</v>
      </c>
      <c r="H8" s="210">
        <f t="shared" ca="1" si="1"/>
        <v>310038.06153415178</v>
      </c>
      <c r="I8" s="210">
        <f t="shared" ca="1" si="1"/>
        <v>669036.41111044795</v>
      </c>
      <c r="J8" s="174"/>
    </row>
    <row r="9" spans="2:10" x14ac:dyDescent="0.25">
      <c r="B9" s="3" t="s">
        <v>35</v>
      </c>
      <c r="C9" s="210">
        <f t="shared" ca="1" si="1"/>
        <v>161267.1629350454</v>
      </c>
      <c r="D9" s="210">
        <f t="shared" ca="1" si="1"/>
        <v>212983.05176517172</v>
      </c>
      <c r="E9" s="210">
        <f t="shared" ca="1" si="1"/>
        <v>116976.96856825668</v>
      </c>
      <c r="F9" s="210">
        <f t="shared" ca="1" si="1"/>
        <v>927255.05110089888</v>
      </c>
      <c r="G9" s="210">
        <f t="shared" ca="1" si="1"/>
        <v>86968.113645787264</v>
      </c>
      <c r="H9" s="210">
        <f t="shared" ca="1" si="1"/>
        <v>387270.13444291102</v>
      </c>
      <c r="I9" s="210">
        <f t="shared" ca="1" si="1"/>
        <v>731933.00977025274</v>
      </c>
      <c r="J9" s="174"/>
    </row>
    <row r="10" spans="2:10" x14ac:dyDescent="0.25">
      <c r="B10" s="3" t="s">
        <v>36</v>
      </c>
      <c r="C10" s="210">
        <f t="shared" ca="1" si="1"/>
        <v>960836.44225798419</v>
      </c>
      <c r="D10" s="210">
        <f t="shared" ca="1" si="1"/>
        <v>140481.65044988735</v>
      </c>
      <c r="E10" s="210">
        <f t="shared" ca="1" si="1"/>
        <v>786002.36618059839</v>
      </c>
      <c r="F10" s="210">
        <f t="shared" ca="1" si="1"/>
        <v>856025.40568454936</v>
      </c>
      <c r="G10" s="210">
        <f t="shared" ca="1" si="1"/>
        <v>136589.42271606211</v>
      </c>
      <c r="H10" s="210">
        <f t="shared" ca="1" si="1"/>
        <v>8228.0850308472654</v>
      </c>
      <c r="I10" s="210">
        <f t="shared" ca="1" si="1"/>
        <v>355491.24448472977</v>
      </c>
      <c r="J10" s="174"/>
    </row>
    <row r="11" spans="2:10" x14ac:dyDescent="0.25">
      <c r="B11" s="3" t="s">
        <v>37</v>
      </c>
      <c r="C11" s="210">
        <f t="shared" ca="1" si="1"/>
        <v>608790.10726117634</v>
      </c>
      <c r="D11" s="210">
        <f t="shared" ca="1" si="1"/>
        <v>956831.27746958705</v>
      </c>
      <c r="E11" s="210">
        <f t="shared" ca="1" si="1"/>
        <v>871871.21215299191</v>
      </c>
      <c r="F11" s="210">
        <f t="shared" ca="1" si="1"/>
        <v>87883.759658252457</v>
      </c>
      <c r="G11" s="210">
        <f t="shared" ca="1" si="1"/>
        <v>976096.76852843841</v>
      </c>
      <c r="H11" s="210">
        <f t="shared" ca="1" si="1"/>
        <v>295372.20835653797</v>
      </c>
      <c r="I11" s="210">
        <f t="shared" ca="1" si="1"/>
        <v>856808.50898107933</v>
      </c>
      <c r="J11" s="174"/>
    </row>
    <row r="12" spans="2:10" x14ac:dyDescent="0.25">
      <c r="B12" s="3" t="s">
        <v>38</v>
      </c>
      <c r="C12" s="210">
        <f t="shared" ca="1" si="1"/>
        <v>39124.902343604437</v>
      </c>
      <c r="D12" s="210">
        <f t="shared" ca="1" si="1"/>
        <v>779563.71234350244</v>
      </c>
      <c r="E12" s="210">
        <f t="shared" ca="1" si="1"/>
        <v>710881.1015747682</v>
      </c>
      <c r="F12" s="210">
        <f t="shared" ca="1" si="1"/>
        <v>314825.43483915413</v>
      </c>
      <c r="G12" s="210">
        <f t="shared" ca="1" si="1"/>
        <v>703823.91730214271</v>
      </c>
      <c r="H12" s="210">
        <f t="shared" ca="1" si="1"/>
        <v>75332.209352404039</v>
      </c>
      <c r="I12" s="210">
        <f t="shared" ca="1" si="1"/>
        <v>309218.68532486539</v>
      </c>
      <c r="J12" s="174"/>
    </row>
    <row r="13" spans="2:10" x14ac:dyDescent="0.25">
      <c r="B13" s="3" t="s">
        <v>39</v>
      </c>
      <c r="C13" s="210">
        <f t="shared" ca="1" si="1"/>
        <v>625692.52710658091</v>
      </c>
      <c r="D13" s="210">
        <f t="shared" ca="1" si="1"/>
        <v>536240.57750215242</v>
      </c>
      <c r="E13" s="210">
        <f t="shared" ca="1" si="1"/>
        <v>123959.11212940236</v>
      </c>
      <c r="F13" s="210">
        <f t="shared" ca="1" si="1"/>
        <v>585332.87071714166</v>
      </c>
      <c r="G13" s="210">
        <f t="shared" ca="1" si="1"/>
        <v>768129.7006447477</v>
      </c>
      <c r="H13" s="210">
        <f t="shared" ca="1" si="1"/>
        <v>92842.69719942451</v>
      </c>
      <c r="I13" s="210">
        <f t="shared" ca="1" si="1"/>
        <v>489243.94049270323</v>
      </c>
      <c r="J13" s="174"/>
    </row>
    <row r="14" spans="2:10" x14ac:dyDescent="0.25">
      <c r="B14" s="3" t="s">
        <v>40</v>
      </c>
      <c r="C14" s="210">
        <f t="shared" ca="1" si="1"/>
        <v>994091.57814805047</v>
      </c>
      <c r="D14" s="210">
        <f t="shared" ca="1" si="1"/>
        <v>917552.62370982894</v>
      </c>
      <c r="E14" s="210">
        <f t="shared" ca="1" si="1"/>
        <v>6295.3161468040089</v>
      </c>
      <c r="F14" s="210">
        <f t="shared" ca="1" si="1"/>
        <v>120183.86992399509</v>
      </c>
      <c r="G14" s="210">
        <f t="shared" ca="1" si="1"/>
        <v>560988.13701484667</v>
      </c>
      <c r="H14" s="210">
        <f t="shared" ca="1" si="1"/>
        <v>763522.22066532192</v>
      </c>
      <c r="I14" s="210">
        <f t="shared" ca="1" si="1"/>
        <v>902979.14806184056</v>
      </c>
      <c r="J14" s="174"/>
    </row>
    <row r="15" spans="2:10" x14ac:dyDescent="0.25">
      <c r="B15" s="3" t="s">
        <v>41</v>
      </c>
      <c r="C15" s="210">
        <f t="shared" ca="1" si="1"/>
        <v>265499.64339331858</v>
      </c>
      <c r="D15" s="210">
        <f t="shared" ca="1" si="1"/>
        <v>618933.43309048261</v>
      </c>
      <c r="E15" s="210">
        <f t="shared" ca="1" si="1"/>
        <v>500320.70109337004</v>
      </c>
      <c r="F15" s="210">
        <f t="shared" ca="1" si="1"/>
        <v>67496.321726260634</v>
      </c>
      <c r="G15" s="210">
        <f t="shared" ca="1" si="1"/>
        <v>452232.15949227713</v>
      </c>
      <c r="H15" s="210">
        <f t="shared" ca="1" si="1"/>
        <v>824668.42936864658</v>
      </c>
      <c r="I15" s="210">
        <f t="shared" ca="1" si="1"/>
        <v>226862.70359325156</v>
      </c>
      <c r="J15" s="174"/>
    </row>
    <row r="16" spans="2:10" x14ac:dyDescent="0.25">
      <c r="B16" s="3" t="s">
        <v>42</v>
      </c>
      <c r="C16" s="210">
        <f t="shared" ca="1" si="1"/>
        <v>200066.5386107685</v>
      </c>
      <c r="D16" s="210">
        <f t="shared" ca="1" si="1"/>
        <v>266011.50330360438</v>
      </c>
      <c r="E16" s="210">
        <f t="shared" ca="1" si="1"/>
        <v>193010.71558485628</v>
      </c>
      <c r="F16" s="210">
        <f t="shared" ca="1" si="1"/>
        <v>523424.92808900331</v>
      </c>
      <c r="G16" s="210">
        <f t="shared" ca="1" si="1"/>
        <v>273834.63852018228</v>
      </c>
      <c r="H16" s="210">
        <f t="shared" ca="1" si="1"/>
        <v>401913.90469826391</v>
      </c>
      <c r="I16" s="210">
        <f t="shared" ca="1" si="1"/>
        <v>103761.96960635886</v>
      </c>
      <c r="J16" s="174"/>
    </row>
    <row r="17" spans="2:10" x14ac:dyDescent="0.25">
      <c r="B17" s="3" t="s">
        <v>43</v>
      </c>
      <c r="C17" s="210">
        <f t="shared" ca="1" si="1"/>
        <v>153143.70210228968</v>
      </c>
      <c r="D17" s="210">
        <f t="shared" ca="1" si="1"/>
        <v>36982.254655640754</v>
      </c>
      <c r="E17" s="210">
        <f t="shared" ca="1" si="1"/>
        <v>210308.76761168014</v>
      </c>
      <c r="F17" s="210">
        <f t="shared" ca="1" si="1"/>
        <v>340835.43941102136</v>
      </c>
      <c r="G17" s="210">
        <f t="shared" ca="1" si="1"/>
        <v>442397.38471652393</v>
      </c>
      <c r="H17" s="210">
        <f t="shared" ca="1" si="1"/>
        <v>420059.62217267847</v>
      </c>
      <c r="I17" s="210">
        <f t="shared" ca="1" si="1"/>
        <v>641432.46441855526</v>
      </c>
      <c r="J17" s="174"/>
    </row>
    <row r="18" spans="2:10" x14ac:dyDescent="0.25">
      <c r="B18" s="3" t="s">
        <v>44</v>
      </c>
      <c r="C18" s="210">
        <f t="shared" ca="1" si="1"/>
        <v>415268.63457252481</v>
      </c>
      <c r="D18" s="210">
        <f t="shared" ca="1" si="1"/>
        <v>864673.49768994458</v>
      </c>
      <c r="E18" s="210">
        <f t="shared" ca="1" si="1"/>
        <v>876598.49955072603</v>
      </c>
      <c r="F18" s="210">
        <f t="shared" ca="1" si="1"/>
        <v>759232.85955438274</v>
      </c>
      <c r="G18" s="210">
        <f t="shared" ca="1" si="1"/>
        <v>502569.45463478233</v>
      </c>
      <c r="H18" s="210">
        <f t="shared" ca="1" si="1"/>
        <v>441783.03155167698</v>
      </c>
      <c r="I18" s="210">
        <f t="shared" ca="1" si="1"/>
        <v>441617.048537836</v>
      </c>
      <c r="J18" s="174"/>
    </row>
    <row r="19" spans="2:10" x14ac:dyDescent="0.25">
      <c r="B19" s="3" t="s">
        <v>45</v>
      </c>
      <c r="C19" s="210">
        <f t="shared" ca="1" si="1"/>
        <v>952693.72844695766</v>
      </c>
      <c r="D19" s="210">
        <f t="shared" ca="1" si="1"/>
        <v>274284.80052246974</v>
      </c>
      <c r="E19" s="210">
        <f t="shared" ca="1" si="1"/>
        <v>642114.32898879831</v>
      </c>
      <c r="F19" s="210">
        <f t="shared" ca="1" si="1"/>
        <v>10701.423031572511</v>
      </c>
      <c r="G19" s="210">
        <f t="shared" ca="1" si="1"/>
        <v>726369.99049230211</v>
      </c>
      <c r="H19" s="210">
        <f t="shared" ca="1" si="1"/>
        <v>30180.27224406994</v>
      </c>
      <c r="I19" s="210">
        <f t="shared" ca="1" si="1"/>
        <v>428661.00204626314</v>
      </c>
      <c r="J19" s="174"/>
    </row>
    <row r="20" spans="2:10" x14ac:dyDescent="0.25">
      <c r="B20" s="3" t="s">
        <v>46</v>
      </c>
      <c r="C20" s="210">
        <f t="shared" ca="1" si="1"/>
        <v>464185.98674364318</v>
      </c>
      <c r="D20" s="210">
        <f t="shared" ca="1" si="1"/>
        <v>890375.80488704587</v>
      </c>
      <c r="E20" s="210">
        <f t="shared" ca="1" si="1"/>
        <v>764952.00791424676</v>
      </c>
      <c r="F20" s="210">
        <f t="shared" ca="1" si="1"/>
        <v>545220.6029075156</v>
      </c>
      <c r="G20" s="210">
        <f t="shared" ca="1" si="1"/>
        <v>463959.34074556298</v>
      </c>
      <c r="H20" s="210">
        <f t="shared" ca="1" si="1"/>
        <v>460980.26675318391</v>
      </c>
      <c r="I20" s="210">
        <f t="shared" ca="1" si="1"/>
        <v>424882.56018816039</v>
      </c>
      <c r="J20" s="174"/>
    </row>
    <row r="21" spans="2:10" x14ac:dyDescent="0.25">
      <c r="B21" s="144" t="s">
        <v>47</v>
      </c>
      <c r="C21" s="210">
        <f t="shared" ca="1" si="1"/>
        <v>901292.47097874759</v>
      </c>
      <c r="D21" s="210">
        <f t="shared" ca="1" si="1"/>
        <v>11379.71378608249</v>
      </c>
      <c r="E21" s="210">
        <f t="shared" ca="1" si="1"/>
        <v>834774.37544389104</v>
      </c>
      <c r="F21" s="210">
        <f t="shared" ca="1" si="1"/>
        <v>851897.31649810169</v>
      </c>
      <c r="G21" s="210">
        <f t="shared" ca="1" si="1"/>
        <v>202634.73417007804</v>
      </c>
      <c r="H21" s="210">
        <f t="shared" ca="1" si="1"/>
        <v>687621.84853780747</v>
      </c>
      <c r="I21" s="210">
        <f t="shared" ca="1" si="1"/>
        <v>649114.80200191215</v>
      </c>
      <c r="J21" s="174"/>
    </row>
    <row r="22" spans="2:10" ht="21" x14ac:dyDescent="0.25">
      <c r="B22" s="180" t="s">
        <v>165</v>
      </c>
      <c r="C22" s="214">
        <f ca="1">C23+'Muncă-dummy data'!C5</f>
        <v>8907581.0461903997</v>
      </c>
      <c r="D22" s="214">
        <f ca="1">D23+'Muncă-dummy data'!D5</f>
        <v>9204442.5328172222</v>
      </c>
      <c r="E22" s="214">
        <f ca="1">E23+'Muncă-dummy data'!E5</f>
        <v>9419498.1688971072</v>
      </c>
      <c r="F22" s="214">
        <f ca="1">F23+'Muncă-dummy data'!F5</f>
        <v>7570853.935764119</v>
      </c>
      <c r="G22" s="214">
        <f ca="1">G23+'Muncă-dummy data'!G5</f>
        <v>8316813.9705441091</v>
      </c>
      <c r="H22" s="214">
        <f ca="1">H23+'Muncă-dummy data'!H5</f>
        <v>7455899.6335098585</v>
      </c>
      <c r="I22" s="214">
        <f ca="1">I23+'Muncă-dummy data'!I5</f>
        <v>8524127.570833303</v>
      </c>
      <c r="J22" s="174"/>
    </row>
    <row r="23" spans="2:10" x14ac:dyDescent="0.25">
      <c r="B23" s="181" t="s">
        <v>166</v>
      </c>
      <c r="C23" s="215">
        <f ca="1">SUM(C5:C21)</f>
        <v>8528817.9836150035</v>
      </c>
      <c r="D23" s="215">
        <f t="shared" ref="D23:G23" ca="1" si="2">SUM(D5:D21)</f>
        <v>8216485.2799942242</v>
      </c>
      <c r="E23" s="215">
        <f t="shared" ca="1" si="2"/>
        <v>8457932.4731935095</v>
      </c>
      <c r="F23" s="215">
        <f t="shared" ca="1" si="2"/>
        <v>7425214.2610799605</v>
      </c>
      <c r="G23" s="215">
        <f t="shared" ca="1" si="2"/>
        <v>8160382.70411833</v>
      </c>
      <c r="H23" s="215">
        <f ca="1">SUM(H5:H21)</f>
        <v>6698627.2626355831</v>
      </c>
      <c r="I23" s="215">
        <f ca="1">SUM(I5:I21)</f>
        <v>8232976.6785405325</v>
      </c>
    </row>
    <row r="24" spans="2:10" x14ac:dyDescent="0.25">
      <c r="B24" s="182"/>
      <c r="C24" s="216"/>
      <c r="D24" s="216"/>
      <c r="E24" s="216"/>
      <c r="F24" s="216"/>
      <c r="G24" s="216"/>
      <c r="H24" s="216"/>
      <c r="I24" s="216"/>
    </row>
    <row r="25" spans="2:10" x14ac:dyDescent="0.25">
      <c r="B25" s="183" t="s">
        <v>89</v>
      </c>
      <c r="C25" s="217"/>
      <c r="D25" s="217"/>
      <c r="E25" s="217"/>
      <c r="F25" s="217"/>
      <c r="G25" s="217"/>
      <c r="H25" s="217"/>
      <c r="I25" s="218"/>
    </row>
    <row r="26" spans="2:10" x14ac:dyDescent="0.25">
      <c r="B26" s="144" t="s">
        <v>26</v>
      </c>
      <c r="C26" s="211">
        <f ca="1">'Muncă-dummy data'!C5</f>
        <v>378763.06257539615</v>
      </c>
      <c r="D26" s="211">
        <f ca="1">'Muncă-dummy data'!D5</f>
        <v>987957.25282299705</v>
      </c>
      <c r="E26" s="211">
        <f ca="1">'Muncă-dummy data'!E5</f>
        <v>961565.69570359809</v>
      </c>
      <c r="F26" s="211">
        <f ca="1">'Muncă-dummy data'!F5</f>
        <v>145639.67468415861</v>
      </c>
      <c r="G26" s="211">
        <f ca="1">'Muncă-dummy data'!G5</f>
        <v>156431.26642577944</v>
      </c>
      <c r="H26" s="211">
        <f ca="1">'Muncă-dummy data'!H5</f>
        <v>757272.3708742751</v>
      </c>
      <c r="I26" s="212">
        <f ca="1">'Muncă-dummy data'!I5</f>
        <v>291150.89229277137</v>
      </c>
    </row>
    <row r="27" spans="2:10" x14ac:dyDescent="0.25">
      <c r="B27" s="144" t="s">
        <v>25</v>
      </c>
      <c r="C27" s="211">
        <f ca="1">C4</f>
        <v>631433.72086646024</v>
      </c>
      <c r="D27" s="211">
        <f t="shared" ref="D27:I27" ca="1" si="3">D4</f>
        <v>273582.40756913787</v>
      </c>
      <c r="E27" s="211">
        <f t="shared" ca="1" si="3"/>
        <v>901060.07934538741</v>
      </c>
      <c r="F27" s="211">
        <f t="shared" ca="1" si="3"/>
        <v>249681.54435647393</v>
      </c>
      <c r="G27" s="211">
        <f t="shared" ca="1" si="3"/>
        <v>343374.85009067028</v>
      </c>
      <c r="H27" s="211">
        <f t="shared" ca="1" si="3"/>
        <v>427080.12177624012</v>
      </c>
      <c r="I27" s="212">
        <f t="shared" ca="1" si="3"/>
        <v>182102.46546533427</v>
      </c>
    </row>
    <row r="28" spans="2:10" x14ac:dyDescent="0.25">
      <c r="B28" s="144" t="s">
        <v>167</v>
      </c>
      <c r="C28" s="211">
        <f t="shared" ref="C28:G28" ca="1" si="4">C23</f>
        <v>8528817.9836150035</v>
      </c>
      <c r="D28" s="211">
        <f t="shared" ca="1" si="4"/>
        <v>8216485.2799942242</v>
      </c>
      <c r="E28" s="211">
        <f t="shared" ca="1" si="4"/>
        <v>8457932.4731935095</v>
      </c>
      <c r="F28" s="211">
        <f t="shared" ca="1" si="4"/>
        <v>7425214.2610799605</v>
      </c>
      <c r="G28" s="211">
        <f t="shared" ca="1" si="4"/>
        <v>8160382.70411833</v>
      </c>
      <c r="H28" s="211">
        <f ca="1">H23</f>
        <v>6698627.2626355831</v>
      </c>
      <c r="I28" s="211">
        <f ca="1">I23</f>
        <v>8232976.6785405325</v>
      </c>
    </row>
    <row r="29" spans="2:10" x14ac:dyDescent="0.25">
      <c r="B29" s="40" t="s">
        <v>0</v>
      </c>
      <c r="C29" s="219">
        <f ca="1">SUM(C26:C28)</f>
        <v>9539014.76705686</v>
      </c>
      <c r="D29" s="219">
        <f t="shared" ref="D29:I29" ca="1" si="5">SUM(D26:D28)</f>
        <v>9478024.9403863586</v>
      </c>
      <c r="E29" s="219">
        <f ca="1">SUM(E26:E28)</f>
        <v>10320558.248242496</v>
      </c>
      <c r="F29" s="219">
        <f t="shared" ca="1" si="5"/>
        <v>7820535.4801205928</v>
      </c>
      <c r="G29" s="219">
        <f t="shared" ca="1" si="5"/>
        <v>8660188.8206347805</v>
      </c>
      <c r="H29" s="219">
        <f t="shared" ca="1" si="5"/>
        <v>7882979.7552860985</v>
      </c>
      <c r="I29" s="220">
        <f t="shared" ca="1" si="5"/>
        <v>8706230.0362986382</v>
      </c>
    </row>
    <row r="30" spans="2:10" x14ac:dyDescent="0.25">
      <c r="B30" s="41"/>
      <c r="C30" s="10"/>
      <c r="D30" s="10"/>
      <c r="E30" s="10"/>
      <c r="F30" s="10"/>
      <c r="G30" s="10"/>
      <c r="H30" s="10"/>
      <c r="I30" s="10"/>
    </row>
    <row r="31" spans="2:10" x14ac:dyDescent="0.25">
      <c r="B31" s="75" t="s">
        <v>90</v>
      </c>
      <c r="C31" s="6"/>
      <c r="D31" s="6"/>
      <c r="E31" s="6"/>
      <c r="F31" s="6"/>
      <c r="G31" s="6"/>
      <c r="H31" s="6"/>
      <c r="I31" s="6"/>
    </row>
    <row r="32" spans="2:10" x14ac:dyDescent="0.25">
      <c r="B32" s="144" t="s">
        <v>31</v>
      </c>
      <c r="C32" s="145">
        <f>'Indicii prețurilor'!C26</f>
        <v>1</v>
      </c>
      <c r="D32" s="145">
        <f>'Indicii prețurilor'!D26</f>
        <v>1.0199</v>
      </c>
      <c r="E32" s="145">
        <f>'Indicii prețurilor'!E26</f>
        <v>1.0324447700000001</v>
      </c>
      <c r="F32" s="145">
        <f>'Indicii prețurilor'!F26</f>
        <v>1.0356453487870001</v>
      </c>
      <c r="G32" s="145">
        <f>'Indicii prețurilor'!G26</f>
        <v>1.0641255958786426</v>
      </c>
      <c r="H32" s="145">
        <f>'Indicii prețurilor'!H26</f>
        <v>1.0914736236927238</v>
      </c>
      <c r="I32" s="145">
        <f>'Indicii prețurilor'!I26</f>
        <v>1.1124299172676242</v>
      </c>
    </row>
    <row r="33" spans="2:9" x14ac:dyDescent="0.25">
      <c r="B33" s="144" t="s">
        <v>32</v>
      </c>
      <c r="C33" s="145">
        <f>'Indicii prețurilor'!C27</f>
        <v>1</v>
      </c>
      <c r="D33" s="145">
        <f>'Indicii prețurilor'!D27</f>
        <v>0.99409999999999998</v>
      </c>
      <c r="E33" s="145">
        <f>'Indicii prețurilor'!E27</f>
        <v>1.04748317</v>
      </c>
      <c r="F33" s="145">
        <f>'Indicii prețurilor'!F27</f>
        <v>0.97960626058399991</v>
      </c>
      <c r="G33" s="145">
        <f>'Indicii prețurilor'!G27</f>
        <v>1.055329824527143</v>
      </c>
      <c r="H33" s="145">
        <f>'Indicii prețurilor'!H27</f>
        <v>1.1205492076829204</v>
      </c>
      <c r="I33" s="145">
        <f>'Indicii prețurilor'!I27</f>
        <v>1.1159549559314206</v>
      </c>
    </row>
    <row r="34" spans="2:9" x14ac:dyDescent="0.25">
      <c r="B34" s="144" t="s">
        <v>33</v>
      </c>
      <c r="C34" s="145">
        <f>'Indicii prețurilor'!C28</f>
        <v>1</v>
      </c>
      <c r="D34" s="145">
        <f>'Indicii prețurilor'!D28</f>
        <v>1.0057</v>
      </c>
      <c r="E34" s="145">
        <f>'Indicii prețurilor'!E28</f>
        <v>0.99443616000000001</v>
      </c>
      <c r="F34" s="145">
        <f>'Indicii prețurilor'!F28</f>
        <v>0.99473449084800014</v>
      </c>
      <c r="G34" s="145">
        <f>'Indicii prețurilor'!G28</f>
        <v>1.0283565166386623</v>
      </c>
      <c r="H34" s="145">
        <f>'Indicii prețurilor'!H28</f>
        <v>1.1107278736214192</v>
      </c>
      <c r="I34" s="145">
        <f>'Indicii prețurilor'!I28</f>
        <v>1.2465698925653188</v>
      </c>
    </row>
    <row r="35" spans="2:9" x14ac:dyDescent="0.25">
      <c r="B35" s="144" t="s">
        <v>34</v>
      </c>
      <c r="C35" s="145">
        <f>'Indicii prețurilor'!C29</f>
        <v>1</v>
      </c>
      <c r="D35" s="145">
        <f>'Indicii prețurilor'!D29</f>
        <v>1.0018</v>
      </c>
      <c r="E35" s="145">
        <f>'Indicii prețurilor'!E29</f>
        <v>1.0085120600000002</v>
      </c>
      <c r="F35" s="145">
        <f>'Indicii prețurilor'!F29</f>
        <v>1.0100248280900002</v>
      </c>
      <c r="G35" s="145">
        <f>'Indicii prețurilor'!G29</f>
        <v>1.0130549025742701</v>
      </c>
      <c r="H35" s="145">
        <f>'Indicii prețurilor'!H29</f>
        <v>1.0125483751229829</v>
      </c>
      <c r="I35" s="145">
        <f>'Indicii prețurilor'!I29</f>
        <v>1.0143709621982042</v>
      </c>
    </row>
    <row r="36" spans="2:9" x14ac:dyDescent="0.25">
      <c r="B36" s="144" t="s">
        <v>35</v>
      </c>
      <c r="C36" s="145">
        <f ca="1">'Indicii prețurilor'!C30</f>
        <v>1</v>
      </c>
      <c r="D36" s="145">
        <f ca="1">'Indicii prețurilor'!D30</f>
        <v>1.2492962033046198</v>
      </c>
      <c r="E36" s="145">
        <f ca="1">'Indicii prețurilor'!E30</f>
        <v>0.65096532273384999</v>
      </c>
      <c r="F36" s="145">
        <f ca="1">'Indicii prețurilor'!F30</f>
        <v>5.8331374656925687</v>
      </c>
      <c r="G36" s="145">
        <f ca="1">'Indicii prețurilor'!G30</f>
        <v>0.48396899714451003</v>
      </c>
      <c r="H36" s="145">
        <f ca="1">'Indicii prețurilor'!H30</f>
        <v>2.5885336572900814</v>
      </c>
      <c r="I36" s="145">
        <f ca="1">'Indicii prețurilor'!I30</f>
        <v>4.5386363624754669</v>
      </c>
    </row>
    <row r="37" spans="2:9" x14ac:dyDescent="0.25">
      <c r="B37" s="144" t="s">
        <v>36</v>
      </c>
      <c r="C37" s="145">
        <f>'Indicii prețurilor'!C31</f>
        <v>1</v>
      </c>
      <c r="D37" s="145">
        <f>'Indicii prețurilor'!D31</f>
        <v>1.0083</v>
      </c>
      <c r="E37" s="145">
        <f>'Indicii prețurilor'!E31</f>
        <v>0.99892280999999994</v>
      </c>
      <c r="F37" s="145">
        <f>'Indicii prețurilor'!F31</f>
        <v>0.99352862682599996</v>
      </c>
      <c r="G37" s="145">
        <f>'Indicii prețurilor'!G31</f>
        <v>1.0265137772366231</v>
      </c>
      <c r="H37" s="145">
        <f>'Indicii prețurilor'!H31</f>
        <v>1.0600807777522605</v>
      </c>
      <c r="I37" s="145">
        <f>'Indicii prețurilor'!I31</f>
        <v>1.102908041173452</v>
      </c>
    </row>
    <row r="38" spans="2:9" x14ac:dyDescent="0.25">
      <c r="B38" s="144" t="s">
        <v>37</v>
      </c>
      <c r="C38" s="145">
        <f>'Indicii prețurilor'!C32</f>
        <v>1</v>
      </c>
      <c r="D38" s="145">
        <f>'Indicii prețurilor'!D32</f>
        <v>1.0057</v>
      </c>
      <c r="E38" s="145">
        <f>'Indicii prețurilor'!E32</f>
        <v>0.99443616000000001</v>
      </c>
      <c r="F38" s="145">
        <f>'Indicii prețurilor'!F32</f>
        <v>0.99473449084800014</v>
      </c>
      <c r="G38" s="145">
        <f>'Indicii prețurilor'!G32</f>
        <v>1.0283565166386623</v>
      </c>
      <c r="H38" s="145">
        <f>'Indicii prețurilor'!H32</f>
        <v>1.1107278736214192</v>
      </c>
      <c r="I38" s="145">
        <f>'Indicii prețurilor'!I32</f>
        <v>1.2465698925653188</v>
      </c>
    </row>
    <row r="39" spans="2:9" x14ac:dyDescent="0.25">
      <c r="B39" s="144" t="s">
        <v>38</v>
      </c>
      <c r="C39" s="145">
        <f>'Indicii prețurilor'!C33</f>
        <v>1</v>
      </c>
      <c r="D39" s="145">
        <f>'Indicii prețurilor'!D33</f>
        <v>1.0083</v>
      </c>
      <c r="E39" s="145">
        <f>'Indicii prețurilor'!E33</f>
        <v>0.99892280999999994</v>
      </c>
      <c r="F39" s="145">
        <f>'Indicii prețurilor'!F33</f>
        <v>0.99352862682599996</v>
      </c>
      <c r="G39" s="145">
        <f>'Indicii prețurilor'!G33</f>
        <v>1.0265137772366231</v>
      </c>
      <c r="H39" s="145">
        <f>'Indicii prețurilor'!H33</f>
        <v>1.0600807777522605</v>
      </c>
      <c r="I39" s="145">
        <f>'Indicii prețurilor'!I33</f>
        <v>1.102908041173452</v>
      </c>
    </row>
    <row r="40" spans="2:9" x14ac:dyDescent="0.25">
      <c r="B40" s="144" t="s">
        <v>39</v>
      </c>
      <c r="C40" s="145">
        <f>'Indicii prețurilor'!C34</f>
        <v>1</v>
      </c>
      <c r="D40" s="145">
        <f>'Indicii prețurilor'!D34</f>
        <v>0.99409999999999998</v>
      </c>
      <c r="E40" s="145">
        <f>'Indicii prețurilor'!E34</f>
        <v>1.04748317</v>
      </c>
      <c r="F40" s="145">
        <f>'Indicii prețurilor'!F34</f>
        <v>0.97960626058399991</v>
      </c>
      <c r="G40" s="145">
        <f>'Indicii prețurilor'!G34</f>
        <v>1.055329824527143</v>
      </c>
      <c r="H40" s="145">
        <f>'Indicii prețurilor'!H34</f>
        <v>1.1205492076829204</v>
      </c>
      <c r="I40" s="145">
        <f>'Indicii prețurilor'!I34</f>
        <v>1.1159549559314206</v>
      </c>
    </row>
    <row r="41" spans="2:9" x14ac:dyDescent="0.25">
      <c r="B41" s="144" t="s">
        <v>40</v>
      </c>
      <c r="C41" s="145">
        <f>'Indicii prețurilor'!C35</f>
        <v>1</v>
      </c>
      <c r="D41" s="145">
        <f>'Indicii prețurilor'!D35</f>
        <v>1.0057</v>
      </c>
      <c r="E41" s="145">
        <f>'Indicii prețurilor'!E35</f>
        <v>0.99443616000000001</v>
      </c>
      <c r="F41" s="145">
        <f>'Indicii prețurilor'!F35</f>
        <v>0.99473449084800014</v>
      </c>
      <c r="G41" s="145">
        <f>'Indicii prețurilor'!G35</f>
        <v>1.0283565166386623</v>
      </c>
      <c r="H41" s="145">
        <f>'Indicii prețurilor'!H35</f>
        <v>1.1107278736214192</v>
      </c>
      <c r="I41" s="145">
        <f>'Indicii prețurilor'!I35</f>
        <v>1.2465698925653188</v>
      </c>
    </row>
    <row r="42" spans="2:9" x14ac:dyDescent="0.25">
      <c r="B42" s="144" t="s">
        <v>41</v>
      </c>
      <c r="C42" s="145">
        <f>'Indicii prețurilor'!C36</f>
        <v>1</v>
      </c>
      <c r="D42" s="145">
        <f>'Indicii prețurilor'!D36</f>
        <v>1.0225</v>
      </c>
      <c r="E42" s="145">
        <f>'Indicii prețurilor'!E36</f>
        <v>1.0471422500000001</v>
      </c>
      <c r="F42" s="145">
        <f>'Indicii prețurilor'!F36</f>
        <v>1.0279795468250001</v>
      </c>
      <c r="G42" s="145">
        <f>'Indicii prețurilor'!G36</f>
        <v>1.0302411018280151</v>
      </c>
      <c r="H42" s="145">
        <f>'Indicii prețurilor'!H36</f>
        <v>1.0553789847126187</v>
      </c>
      <c r="I42" s="145">
        <f>'Indicii prețurilor'!I36</f>
        <v>1.0992827504766636</v>
      </c>
    </row>
    <row r="43" spans="2:9" x14ac:dyDescent="0.25">
      <c r="B43" s="144" t="s">
        <v>42</v>
      </c>
      <c r="C43" s="145">
        <f>'Indicii prețurilor'!C37</f>
        <v>1</v>
      </c>
      <c r="D43" s="145">
        <f>'Indicii prețurilor'!D37</f>
        <v>1.0225</v>
      </c>
      <c r="E43" s="145">
        <f>'Indicii prețurilor'!E37</f>
        <v>1.0471422500000001</v>
      </c>
      <c r="F43" s="145">
        <f>'Indicii prețurilor'!F37</f>
        <v>1.0279795468250001</v>
      </c>
      <c r="G43" s="145">
        <f>'Indicii prețurilor'!G37</f>
        <v>1.0302411018280151</v>
      </c>
      <c r="H43" s="145">
        <f>'Indicii prețurilor'!H37</f>
        <v>1.0553789847126187</v>
      </c>
      <c r="I43" s="145">
        <f>'Indicii prețurilor'!I37</f>
        <v>1.0992827504766636</v>
      </c>
    </row>
    <row r="44" spans="2:9" x14ac:dyDescent="0.25">
      <c r="B44" s="144" t="s">
        <v>43</v>
      </c>
      <c r="C44" s="145">
        <f>'Indicii prețurilor'!C38</f>
        <v>1</v>
      </c>
      <c r="D44" s="145">
        <f>'Indicii prețurilor'!D38</f>
        <v>1</v>
      </c>
      <c r="E44" s="145">
        <f>'Indicii prețurilor'!E38</f>
        <v>1</v>
      </c>
      <c r="F44" s="145">
        <f>'Indicii prețurilor'!F38</f>
        <v>0.83329999999999993</v>
      </c>
      <c r="G44" s="145">
        <f>'Indicii prețurilor'!G38</f>
        <v>0.79163499999999998</v>
      </c>
      <c r="H44" s="145">
        <f>'Indicii prețurilor'!H38</f>
        <v>0.79163499999999998</v>
      </c>
      <c r="I44" s="145">
        <f>'Indicii prețurilor'!I38</f>
        <v>0.79163499999999998</v>
      </c>
    </row>
    <row r="45" spans="2:9" x14ac:dyDescent="0.25">
      <c r="B45" s="144" t="s">
        <v>44</v>
      </c>
      <c r="C45" s="145">
        <f>'Indicii prețurilor'!C39</f>
        <v>1</v>
      </c>
      <c r="D45" s="145">
        <f>'Indicii prețurilor'!D39</f>
        <v>1.0057</v>
      </c>
      <c r="E45" s="145">
        <f>'Indicii prețurilor'!E39</f>
        <v>0.99443616000000001</v>
      </c>
      <c r="F45" s="145">
        <f>'Indicii prețurilor'!F39</f>
        <v>0.99473449084800014</v>
      </c>
      <c r="G45" s="145">
        <f>'Indicii prețurilor'!G39</f>
        <v>1.0283565166386623</v>
      </c>
      <c r="H45" s="145">
        <f>'Indicii prețurilor'!H39</f>
        <v>1.1107278736214192</v>
      </c>
      <c r="I45" s="145">
        <f>'Indicii prețurilor'!I39</f>
        <v>1.2465698925653188</v>
      </c>
    </row>
    <row r="46" spans="2:9" x14ac:dyDescent="0.25">
      <c r="B46" s="144" t="s">
        <v>45</v>
      </c>
      <c r="C46" s="145">
        <f>'Indicii prețurilor'!C40</f>
        <v>1</v>
      </c>
      <c r="D46" s="145">
        <f>'Indicii prețurilor'!D40</f>
        <v>1</v>
      </c>
      <c r="E46" s="145">
        <f>'Indicii prețurilor'!E40</f>
        <v>1.3069999999999999</v>
      </c>
      <c r="F46" s="145">
        <f>'Indicii prețurilor'!F40</f>
        <v>1.3069999999999999</v>
      </c>
      <c r="G46" s="145">
        <f>'Indicii prețurilor'!G40</f>
        <v>1.3069999999999999</v>
      </c>
      <c r="H46" s="145">
        <f>'Indicii prețurilor'!H40</f>
        <v>1.5370319999999997</v>
      </c>
      <c r="I46" s="145">
        <f>'Indicii prețurilor'!I40</f>
        <v>1.5370319999999997</v>
      </c>
    </row>
    <row r="47" spans="2:9" x14ac:dyDescent="0.25">
      <c r="B47" s="144" t="s">
        <v>46</v>
      </c>
      <c r="C47" s="145">
        <f>'Indicii prețurilor'!C41</f>
        <v>1</v>
      </c>
      <c r="D47" s="145">
        <f>'Indicii prețurilor'!D41</f>
        <v>1.0057</v>
      </c>
      <c r="E47" s="145">
        <f>'Indicii prețurilor'!E41</f>
        <v>0.99443616000000001</v>
      </c>
      <c r="F47" s="145">
        <f>'Indicii prețurilor'!F41</f>
        <v>0.99473449084800014</v>
      </c>
      <c r="G47" s="145">
        <f>'Indicii prețurilor'!G41</f>
        <v>1.0283565166386623</v>
      </c>
      <c r="H47" s="145">
        <f>'Indicii prețurilor'!H41</f>
        <v>1.1107278736214192</v>
      </c>
      <c r="I47" s="145">
        <f>'Indicii prețurilor'!I41</f>
        <v>1.2465698925653188</v>
      </c>
    </row>
    <row r="48" spans="2:9" x14ac:dyDescent="0.25">
      <c r="B48" s="144" t="s">
        <v>47</v>
      </c>
      <c r="C48" s="145">
        <f>'Indicii prețurilor'!C42</f>
        <v>1</v>
      </c>
      <c r="D48" s="145">
        <f>'Indicii prețurilor'!D42</f>
        <v>1.0051000000000001</v>
      </c>
      <c r="E48" s="145">
        <f>'Indicii prețurilor'!E42</f>
        <v>1.0157540600000001</v>
      </c>
      <c r="F48" s="145">
        <f>'Indicii prețurilor'!F42</f>
        <v>0.99340747068000013</v>
      </c>
      <c r="G48" s="145">
        <f>'Indicii prețurilor'!G42</f>
        <v>0.94999556421128406</v>
      </c>
      <c r="H48" s="145">
        <f>'Indicii prețurilor'!H42</f>
        <v>0.95683553227360529</v>
      </c>
      <c r="I48" s="145">
        <f>'Indicii prețurilor'!I42</f>
        <v>1.0070693977179694</v>
      </c>
    </row>
    <row r="49" spans="2:10" x14ac:dyDescent="0.25">
      <c r="B49" s="42"/>
      <c r="C49" s="43"/>
      <c r="D49" s="43"/>
      <c r="E49" s="43"/>
      <c r="F49" s="43"/>
      <c r="G49" s="43"/>
      <c r="H49" s="43"/>
      <c r="I49" s="43"/>
    </row>
    <row r="50" spans="2:10" x14ac:dyDescent="0.25">
      <c r="B50" s="75" t="s">
        <v>163</v>
      </c>
      <c r="C50" s="36"/>
      <c r="D50" s="36"/>
      <c r="E50" s="36"/>
      <c r="F50" s="36"/>
      <c r="G50" s="36"/>
      <c r="H50" s="36"/>
      <c r="I50" s="36"/>
    </row>
    <row r="51" spans="2:10" x14ac:dyDescent="0.25">
      <c r="B51" s="3" t="s">
        <v>31</v>
      </c>
      <c r="C51" s="221">
        <f ca="1">C5/C$23</f>
        <v>4.6182658247708496E-3</v>
      </c>
      <c r="D51" s="221">
        <f t="shared" ref="D51:H51" ca="1" si="6">D5/D$23</f>
        <v>2.659084163561173E-2</v>
      </c>
      <c r="E51" s="221">
        <f t="shared" ca="1" si="6"/>
        <v>2.0113206967986269E-2</v>
      </c>
      <c r="F51" s="221">
        <f t="shared" ca="1" si="6"/>
        <v>0.1170816988651118</v>
      </c>
      <c r="G51" s="221">
        <f t="shared" ca="1" si="6"/>
        <v>3.8089988523855207E-2</v>
      </c>
      <c r="H51" s="221">
        <f t="shared" ca="1" si="6"/>
        <v>0.10233263615445799</v>
      </c>
      <c r="I51" s="222">
        <f ca="1">I5/I$23</f>
        <v>7.9646742731481035E-2</v>
      </c>
      <c r="J51" s="170"/>
    </row>
    <row r="52" spans="2:10" x14ac:dyDescent="0.25">
      <c r="B52" s="3" t="s">
        <v>32</v>
      </c>
      <c r="C52" s="223">
        <f t="shared" ref="C52:H52" ca="1" si="7">C6/C$23</f>
        <v>4.1477995508324553E-2</v>
      </c>
      <c r="D52" s="223">
        <f t="shared" ca="1" si="7"/>
        <v>1.1344770523958311E-2</v>
      </c>
      <c r="E52" s="223">
        <f t="shared" ca="1" si="7"/>
        <v>9.4862741831251582E-2</v>
      </c>
      <c r="F52" s="223">
        <f t="shared" ca="1" si="7"/>
        <v>4.7525318175408955E-2</v>
      </c>
      <c r="G52" s="223">
        <f t="shared" ca="1" si="7"/>
        <v>2.2957761503242417E-2</v>
      </c>
      <c r="H52" s="223">
        <f t="shared" ca="1" si="7"/>
        <v>4.3373343477022437E-2</v>
      </c>
      <c r="I52" s="224">
        <f ca="1">I6/I$23</f>
        <v>3.5510398299200115E-2</v>
      </c>
    </row>
    <row r="53" spans="2:10" x14ac:dyDescent="0.25">
      <c r="B53" s="3" t="s">
        <v>33</v>
      </c>
      <c r="C53" s="223">
        <f t="shared" ref="C53:I53" ca="1" si="8">C7/C$23</f>
        <v>9.6718182777864398E-2</v>
      </c>
      <c r="D53" s="223">
        <f t="shared" ca="1" si="8"/>
        <v>0.12041572143676867</v>
      </c>
      <c r="E53" s="223">
        <f t="shared" ca="1" si="8"/>
        <v>2.9146504737346202E-2</v>
      </c>
      <c r="F53" s="223">
        <f t="shared" ca="1" si="8"/>
        <v>2.858745910584759E-2</v>
      </c>
      <c r="G53" s="223">
        <f t="shared" ca="1" si="8"/>
        <v>0.1160116360572902</v>
      </c>
      <c r="H53" s="223">
        <f t="shared" ca="1" si="8"/>
        <v>7.804348603709399E-2</v>
      </c>
      <c r="I53" s="224">
        <f t="shared" ca="1" si="8"/>
        <v>6.5404197718219427E-3</v>
      </c>
    </row>
    <row r="54" spans="2:10" x14ac:dyDescent="0.25">
      <c r="B54" s="3" t="s">
        <v>34</v>
      </c>
      <c r="C54" s="223">
        <f t="shared" ref="C54:I54" ca="1" si="9">C8/C$23</f>
        <v>6.6694606515647362E-2</v>
      </c>
      <c r="D54" s="223">
        <f t="shared" ca="1" si="9"/>
        <v>4.9790143025405638E-2</v>
      </c>
      <c r="E54" s="223">
        <f t="shared" ca="1" si="9"/>
        <v>7.1044433409012633E-2</v>
      </c>
      <c r="F54" s="223">
        <f t="shared" ca="1" si="9"/>
        <v>5.2334987322977678E-5</v>
      </c>
      <c r="G54" s="223">
        <f t="shared" ca="1" si="9"/>
        <v>5.1335409732478979E-2</v>
      </c>
      <c r="H54" s="223">
        <f t="shared" ca="1" si="9"/>
        <v>4.6283820457292756E-2</v>
      </c>
      <c r="I54" s="224">
        <f t="shared" ca="1" si="9"/>
        <v>8.1263003313772134E-2</v>
      </c>
    </row>
    <row r="55" spans="2:10" x14ac:dyDescent="0.25">
      <c r="B55" s="3" t="s">
        <v>35</v>
      </c>
      <c r="C55" s="223">
        <f t="shared" ref="C55:I55" ca="1" si="10">C9/C$23</f>
        <v>1.8908500948767008E-2</v>
      </c>
      <c r="D55" s="223">
        <f t="shared" ca="1" si="10"/>
        <v>2.5921430454424358E-2</v>
      </c>
      <c r="E55" s="223">
        <f t="shared" ca="1" si="10"/>
        <v>1.3830444844411134E-2</v>
      </c>
      <c r="F55" s="223">
        <f t="shared" ca="1" si="10"/>
        <v>0.12487923156119596</v>
      </c>
      <c r="G55" s="223">
        <f t="shared" ca="1" si="10"/>
        <v>1.0657357234225884E-2</v>
      </c>
      <c r="H55" s="223">
        <f t="shared" ca="1" si="10"/>
        <v>5.7813357761085385E-2</v>
      </c>
      <c r="I55" s="224">
        <f t="shared" ca="1" si="10"/>
        <v>8.8902597243844403E-2</v>
      </c>
    </row>
    <row r="56" spans="2:10" x14ac:dyDescent="0.25">
      <c r="B56" s="3" t="s">
        <v>36</v>
      </c>
      <c r="C56" s="223">
        <f t="shared" ref="C56:I56" ca="1" si="11">C10/C$23</f>
        <v>0.11265763252350784</v>
      </c>
      <c r="D56" s="223">
        <f t="shared" ca="1" si="11"/>
        <v>1.7097535705679023E-2</v>
      </c>
      <c r="E56" s="223">
        <f t="shared" ca="1" si="11"/>
        <v>9.2930792326818265E-2</v>
      </c>
      <c r="F56" s="223">
        <f t="shared" ca="1" si="11"/>
        <v>0.11528629014404289</v>
      </c>
      <c r="G56" s="223">
        <f t="shared" ca="1" si="11"/>
        <v>1.6738114824826664E-2</v>
      </c>
      <c r="H56" s="223">
        <f t="shared" ca="1" si="11"/>
        <v>1.2283240592804556E-3</v>
      </c>
      <c r="I56" s="224">
        <f t="shared" ca="1" si="11"/>
        <v>4.3178944671533798E-2</v>
      </c>
    </row>
    <row r="57" spans="2:10" x14ac:dyDescent="0.25">
      <c r="B57" s="3" t="s">
        <v>37</v>
      </c>
      <c r="C57" s="223">
        <f t="shared" ref="C57:I57" ca="1" si="12">C11/C$23</f>
        <v>7.1380361080602653E-2</v>
      </c>
      <c r="D57" s="223">
        <f t="shared" ca="1" si="12"/>
        <v>0.11645262479801578</v>
      </c>
      <c r="E57" s="223">
        <f t="shared" ca="1" si="12"/>
        <v>0.10308325526555008</v>
      </c>
      <c r="F57" s="223">
        <f t="shared" ca="1" si="12"/>
        <v>1.1835855043120359E-2</v>
      </c>
      <c r="G57" s="223">
        <f t="shared" ca="1" si="12"/>
        <v>0.1196140921228888</v>
      </c>
      <c r="H57" s="223">
        <f t="shared" ca="1" si="12"/>
        <v>4.4094438573123923E-2</v>
      </c>
      <c r="I57" s="224">
        <f t="shared" ca="1" si="12"/>
        <v>0.10407031896669561</v>
      </c>
    </row>
    <row r="58" spans="2:10" x14ac:dyDescent="0.25">
      <c r="B58" s="3" t="s">
        <v>38</v>
      </c>
      <c r="C58" s="223">
        <f t="shared" ref="C58:I58" ca="1" si="13">C12/C$23</f>
        <v>4.5873768696633689E-3</v>
      </c>
      <c r="D58" s="223">
        <f t="shared" ca="1" si="13"/>
        <v>9.487800267124076E-2</v>
      </c>
      <c r="E58" s="223">
        <f t="shared" ca="1" si="13"/>
        <v>8.404903962378843E-2</v>
      </c>
      <c r="F58" s="223">
        <f t="shared" ca="1" si="13"/>
        <v>4.2399508454502743E-2</v>
      </c>
      <c r="G58" s="223">
        <f t="shared" ca="1" si="13"/>
        <v>8.6248885967926639E-2</v>
      </c>
      <c r="H58" s="223">
        <f t="shared" ca="1" si="13"/>
        <v>1.1245917469180767E-2</v>
      </c>
      <c r="I58" s="224">
        <f t="shared" ca="1" si="13"/>
        <v>3.7558552319339363E-2</v>
      </c>
    </row>
    <row r="59" spans="2:10" x14ac:dyDescent="0.25">
      <c r="B59" s="3" t="s">
        <v>39</v>
      </c>
      <c r="C59" s="223">
        <f t="shared" ref="C59:I59" ca="1" si="14">C13/C$23</f>
        <v>7.3362162061450908E-2</v>
      </c>
      <c r="D59" s="223">
        <f t="shared" ca="1" si="14"/>
        <v>6.5263985661583188E-2</v>
      </c>
      <c r="E59" s="223">
        <f t="shared" ca="1" si="14"/>
        <v>1.4655959068280244E-2</v>
      </c>
      <c r="F59" s="223">
        <f t="shared" ca="1" si="14"/>
        <v>7.8830435073803232E-2</v>
      </c>
      <c r="G59" s="223">
        <f t="shared" ca="1" si="14"/>
        <v>9.4129127088254438E-2</v>
      </c>
      <c r="H59" s="223">
        <f t="shared" ca="1" si="14"/>
        <v>1.3859958698895487E-2</v>
      </c>
      <c r="I59" s="224">
        <f t="shared" ca="1" si="14"/>
        <v>5.9424915142530434E-2</v>
      </c>
    </row>
    <row r="60" spans="2:10" x14ac:dyDescent="0.25">
      <c r="B60" s="3" t="s">
        <v>40</v>
      </c>
      <c r="C60" s="223">
        <f t="shared" ref="C60:I60" ca="1" si="15">C14/C$23</f>
        <v>0.11655678196648503</v>
      </c>
      <c r="D60" s="223">
        <f t="shared" ca="1" si="15"/>
        <v>0.11167215572623455</v>
      </c>
      <c r="E60" s="223">
        <f t="shared" ca="1" si="15"/>
        <v>7.4430910470807421E-4</v>
      </c>
      <c r="F60" s="223">
        <f t="shared" ca="1" si="15"/>
        <v>1.6185912715536231E-2</v>
      </c>
      <c r="G60" s="223">
        <f t="shared" ca="1" si="15"/>
        <v>6.8745322046198973E-2</v>
      </c>
      <c r="H60" s="223">
        <f t="shared" ca="1" si="15"/>
        <v>0.11398189371189361</v>
      </c>
      <c r="I60" s="224">
        <f t="shared" ca="1" si="15"/>
        <v>0.10967833182565416</v>
      </c>
    </row>
    <row r="61" spans="2:10" x14ac:dyDescent="0.25">
      <c r="B61" s="3" t="s">
        <v>41</v>
      </c>
      <c r="C61" s="223">
        <f t="shared" ref="C61:I61" ca="1" si="16">C15/C$23</f>
        <v>3.1129711514934284E-2</v>
      </c>
      <c r="D61" s="223">
        <f t="shared" ca="1" si="16"/>
        <v>7.532824705442881E-2</v>
      </c>
      <c r="E61" s="223">
        <f t="shared" ca="1" si="16"/>
        <v>5.9154019339724181E-2</v>
      </c>
      <c r="F61" s="223">
        <f t="shared" ca="1" si="16"/>
        <v>9.0901513886339526E-3</v>
      </c>
      <c r="G61" s="223">
        <f t="shared" ca="1" si="16"/>
        <v>5.5418008675505802E-2</v>
      </c>
      <c r="H61" s="223">
        <f t="shared" ca="1" si="16"/>
        <v>0.12311006375419369</v>
      </c>
      <c r="I61" s="224">
        <f t="shared" ca="1" si="16"/>
        <v>2.7555368179843762E-2</v>
      </c>
    </row>
    <row r="62" spans="2:10" x14ac:dyDescent="0.25">
      <c r="B62" s="3" t="s">
        <v>42</v>
      </c>
      <c r="C62" s="223">
        <f t="shared" ref="C62:G66" ca="1" si="17">C16/C$23</f>
        <v>2.3457709965803351E-2</v>
      </c>
      <c r="D62" s="223">
        <f t="shared" ca="1" si="17"/>
        <v>3.2375339848937375E-2</v>
      </c>
      <c r="E62" s="223">
        <f t="shared" ca="1" si="17"/>
        <v>2.2820082354237589E-2</v>
      </c>
      <c r="F62" s="223">
        <f t="shared" ca="1" si="17"/>
        <v>7.0492905616554385E-2</v>
      </c>
      <c r="G62" s="223">
        <f t="shared" ca="1" si="17"/>
        <v>3.3556592680633122E-2</v>
      </c>
      <c r="H62" s="223">
        <f t="shared" ref="H62:H66" ca="1" si="18">H16/H$23</f>
        <v>5.9999443011273086E-2</v>
      </c>
      <c r="I62" s="224">
        <f t="shared" ref="I62:I66" ca="1" si="19">I16/I$23</f>
        <v>1.2603214324269512E-2</v>
      </c>
    </row>
    <row r="63" spans="2:10" x14ac:dyDescent="0.25">
      <c r="B63" s="3" t="s">
        <v>43</v>
      </c>
      <c r="C63" s="223">
        <f t="shared" ca="1" si="17"/>
        <v>1.7956028888938554E-2</v>
      </c>
      <c r="D63" s="223">
        <f t="shared" ca="1" si="17"/>
        <v>4.5009822807918123E-3</v>
      </c>
      <c r="E63" s="223">
        <f t="shared" ca="1" si="17"/>
        <v>2.4865269175206914E-2</v>
      </c>
      <c r="F63" s="223">
        <f t="shared" ca="1" si="17"/>
        <v>4.5902438290238448E-2</v>
      </c>
      <c r="G63" s="223">
        <f t="shared" ca="1" si="17"/>
        <v>5.4212823191889963E-2</v>
      </c>
      <c r="H63" s="223">
        <f t="shared" ca="1" si="18"/>
        <v>6.2708314062455459E-2</v>
      </c>
      <c r="I63" s="224">
        <f t="shared" ca="1" si="19"/>
        <v>7.7910151997693092E-2</v>
      </c>
    </row>
    <row r="64" spans="2:10" x14ac:dyDescent="0.25">
      <c r="B64" s="3" t="s">
        <v>44</v>
      </c>
      <c r="C64" s="223">
        <f t="shared" ca="1" si="17"/>
        <v>4.8690057094700721E-2</v>
      </c>
      <c r="D64" s="223">
        <f t="shared" ca="1" si="17"/>
        <v>0.10523642022401973</v>
      </c>
      <c r="E64" s="223">
        <f t="shared" ca="1" si="17"/>
        <v>0.10364217287487326</v>
      </c>
      <c r="F64" s="223">
        <f t="shared" ca="1" si="17"/>
        <v>0.10225063316138652</v>
      </c>
      <c r="G64" s="223">
        <f t="shared" ca="1" si="17"/>
        <v>6.1586505542337959E-2</v>
      </c>
      <c r="H64" s="223">
        <f t="shared" ca="1" si="18"/>
        <v>6.5951278408325251E-2</v>
      </c>
      <c r="I64" s="224">
        <f t="shared" ca="1" si="19"/>
        <v>5.3640021802675852E-2</v>
      </c>
    </row>
    <row r="65" spans="2:10" x14ac:dyDescent="0.25">
      <c r="B65" s="3" t="s">
        <v>45</v>
      </c>
      <c r="C65" s="223">
        <f t="shared" ca="1" si="17"/>
        <v>0.11170290306080037</v>
      </c>
      <c r="D65" s="223">
        <f t="shared" ca="1" si="17"/>
        <v>3.3382254233486869E-2</v>
      </c>
      <c r="E65" s="223">
        <f t="shared" ca="1" si="17"/>
        <v>7.591859251937863E-2</v>
      </c>
      <c r="F65" s="223">
        <f t="shared" ca="1" si="17"/>
        <v>1.4412275060755003E-3</v>
      </c>
      <c r="G65" s="223">
        <f t="shared" ca="1" si="17"/>
        <v>8.9011755554763664E-2</v>
      </c>
      <c r="H65" s="223">
        <f t="shared" ca="1" si="18"/>
        <v>4.5054413480226209E-3</v>
      </c>
      <c r="I65" s="224">
        <f t="shared" ca="1" si="19"/>
        <v>5.206634474789406E-2</v>
      </c>
    </row>
    <row r="66" spans="2:10" x14ac:dyDescent="0.25">
      <c r="B66" s="3" t="s">
        <v>46</v>
      </c>
      <c r="C66" s="223">
        <f t="shared" ca="1" si="17"/>
        <v>5.4425594218965201E-2</v>
      </c>
      <c r="D66" s="223">
        <f t="shared" ca="1" si="17"/>
        <v>0.10836455912054792</v>
      </c>
      <c r="E66" s="223">
        <f t="shared" ca="1" si="17"/>
        <v>9.0441962067996914E-2</v>
      </c>
      <c r="F66" s="223">
        <f t="shared" ca="1" si="17"/>
        <v>7.3428265331728748E-2</v>
      </c>
      <c r="G66" s="223">
        <f t="shared" ca="1" si="17"/>
        <v>5.6855095841450543E-2</v>
      </c>
      <c r="H66" s="223">
        <f t="shared" ca="1" si="18"/>
        <v>6.8817124565878685E-2</v>
      </c>
      <c r="I66" s="224">
        <f t="shared" ca="1" si="19"/>
        <v>5.1607404803614691E-2</v>
      </c>
    </row>
    <row r="67" spans="2:10" x14ac:dyDescent="0.25">
      <c r="B67" s="3" t="s">
        <v>47</v>
      </c>
      <c r="C67" s="223">
        <f t="shared" ref="C67:E67" ca="1" si="20">(C21)/C$23</f>
        <v>0.10567612917877373</v>
      </c>
      <c r="D67" s="223">
        <f t="shared" ca="1" si="20"/>
        <v>1.3849855988655149E-3</v>
      </c>
      <c r="E67" s="223">
        <f t="shared" ca="1" si="20"/>
        <v>9.869721448942953E-2</v>
      </c>
      <c r="F67" s="223">
        <f t="shared" ref="F67:I67" ca="1" si="21">(F21)/F$23</f>
        <v>0.11473033457948963</v>
      </c>
      <c r="G67" s="223">
        <f t="shared" ca="1" si="21"/>
        <v>2.4831523412230855E-2</v>
      </c>
      <c r="H67" s="223">
        <f t="shared" ca="1" si="21"/>
        <v>0.10265115845052436</v>
      </c>
      <c r="I67" s="223">
        <f t="shared" ca="1" si="21"/>
        <v>7.8843269858136084E-2</v>
      </c>
      <c r="J67" s="170"/>
    </row>
    <row r="68" spans="2:10" x14ac:dyDescent="0.25">
      <c r="B68" s="51" t="s">
        <v>0</v>
      </c>
      <c r="C68" s="122">
        <f t="shared" ref="C68:H68" ca="1" si="22">SUM(C51:C67)</f>
        <v>1.0000000000000002</v>
      </c>
      <c r="D68" s="122">
        <f t="shared" ca="1" si="22"/>
        <v>0.99999999999999989</v>
      </c>
      <c r="E68" s="122">
        <f t="shared" ca="1" si="22"/>
        <v>0.99999999999999978</v>
      </c>
      <c r="F68" s="122">
        <f t="shared" ca="1" si="22"/>
        <v>1</v>
      </c>
      <c r="G68" s="122">
        <f t="shared" ca="1" si="22"/>
        <v>1.0000000000000002</v>
      </c>
      <c r="H68" s="122">
        <f t="shared" ca="1" si="22"/>
        <v>1</v>
      </c>
      <c r="I68" s="123">
        <f ca="1">SUM(I51:I67)</f>
        <v>1</v>
      </c>
    </row>
    <row r="69" spans="2:10" x14ac:dyDescent="0.25">
      <c r="B69" s="41"/>
      <c r="C69" s="41"/>
      <c r="D69" s="41"/>
      <c r="E69" s="41"/>
      <c r="F69" s="41"/>
      <c r="G69" s="41"/>
      <c r="H69" s="41"/>
      <c r="I69" s="41"/>
    </row>
    <row r="70" spans="2:10" x14ac:dyDescent="0.25">
      <c r="B70" s="75" t="s">
        <v>82</v>
      </c>
      <c r="C70" s="6"/>
      <c r="D70" s="6"/>
      <c r="E70" s="6"/>
      <c r="F70" s="6"/>
      <c r="G70" s="6"/>
      <c r="H70" s="6"/>
      <c r="I70" s="6"/>
    </row>
    <row r="71" spans="2:10" x14ac:dyDescent="0.25">
      <c r="B71" s="18" t="s">
        <v>84</v>
      </c>
      <c r="C71" s="113">
        <v>1</v>
      </c>
      <c r="D71" s="299">
        <f ca="1">SUMPRODUCT(C51:C67,D32:D48)/SUMPRODUCT(C32:C48,C51:C67)</f>
        <v>1.0091988077384706</v>
      </c>
      <c r="E71" s="299">
        <f t="shared" ref="E71:H71" ca="1" si="23">SUMPRODUCT(D51:D67,E32:E48)/SUMPRODUCT(D32:D48,D51:D67)</f>
        <v>0.99485100541857974</v>
      </c>
      <c r="F71" s="299">
        <f t="shared" ca="1" si="23"/>
        <v>1.0540978088019439</v>
      </c>
      <c r="G71" s="299">
        <f t="shared" ca="1" si="23"/>
        <v>0.5937827402857937</v>
      </c>
      <c r="H71" s="299">
        <f t="shared" ca="1" si="23"/>
        <v>1.089017220598351</v>
      </c>
      <c r="I71" s="310">
        <f ca="1">SUMPRODUCT(H51:H67,I32:I48)/SUMPRODUCT(H32:H48,H51:H67)</f>
        <v>1.1560985049002686</v>
      </c>
    </row>
    <row r="72" spans="2:10" x14ac:dyDescent="0.25">
      <c r="B72" s="3" t="s">
        <v>85</v>
      </c>
      <c r="C72" s="114">
        <v>1</v>
      </c>
      <c r="D72" s="300">
        <f ca="1">SUMPRODUCT(D51:D67,D32:D48)/SUMPRODUCT(C32:C48,D51:D67)</f>
        <v>1.013192900084863</v>
      </c>
      <c r="E72" s="300">
        <f t="shared" ref="E72:H72" ca="1" si="24">SUMPRODUCT(E51:E67,E32:E48)/SUMPRODUCT(D32:D48,E51:E67)</f>
        <v>1.0191628265511932</v>
      </c>
      <c r="F72" s="300">
        <f t="shared" ca="1" si="24"/>
        <v>1.6452959591019405</v>
      </c>
      <c r="G72" s="300">
        <f t="shared" ca="1" si="24"/>
        <v>0.96966069362880258</v>
      </c>
      <c r="H72" s="300">
        <f t="shared" ca="1" si="24"/>
        <v>1.1688561269679978</v>
      </c>
      <c r="I72" s="301">
        <f ca="1">SUMPRODUCT(I51:I67,I32:I48)/SUMPRODUCT(H32:H48,I51:I67)</f>
        <v>1.1881801446339881</v>
      </c>
    </row>
    <row r="73" spans="2:10" x14ac:dyDescent="0.25">
      <c r="B73" s="3" t="s">
        <v>86</v>
      </c>
      <c r="C73" s="114">
        <v>1</v>
      </c>
      <c r="D73" s="300">
        <f ca="1">(D71*D72)^0.5</f>
        <v>1.0111938818914634</v>
      </c>
      <c r="E73" s="300">
        <f t="shared" ref="E73:H73" ca="1" si="25">(E71*E72)^0.5</f>
        <v>1.0069335443214196</v>
      </c>
      <c r="F73" s="300">
        <f t="shared" ca="1" si="25"/>
        <v>1.3169293319385245</v>
      </c>
      <c r="G73" s="300">
        <f t="shared" ca="1" si="25"/>
        <v>0.75879363717043247</v>
      </c>
      <c r="H73" s="300">
        <f t="shared" ca="1" si="25"/>
        <v>1.128230672633058</v>
      </c>
      <c r="I73" s="301">
        <f ca="1">(I71*I72)^0.5</f>
        <v>1.1720295596799333</v>
      </c>
    </row>
    <row r="74" spans="2:10" x14ac:dyDescent="0.25">
      <c r="B74" s="3" t="s">
        <v>131</v>
      </c>
      <c r="C74" s="114">
        <v>1</v>
      </c>
      <c r="D74" s="300">
        <f ca="1">C74*D73</f>
        <v>1.0111938818914634</v>
      </c>
      <c r="E74" s="300">
        <f t="shared" ref="E74:H74" ca="1" si="26">D74*E73</f>
        <v>1.0182050394891062</v>
      </c>
      <c r="F74" s="300">
        <f t="shared" ca="1" si="26"/>
        <v>1.3409040824308276</v>
      </c>
      <c r="G74" s="300">
        <f t="shared" ca="1" si="26"/>
        <v>1.0174694858043691</v>
      </c>
      <c r="H74" s="300">
        <f t="shared" ca="1" si="26"/>
        <v>1.147940282352675</v>
      </c>
      <c r="I74" s="301">
        <f ca="1">H74*I73</f>
        <v>1.3454199436646639</v>
      </c>
    </row>
    <row r="75" spans="2:10" x14ac:dyDescent="0.25">
      <c r="B75" s="4" t="s">
        <v>87</v>
      </c>
      <c r="C75" s="305">
        <f ca="1">C23/C74</f>
        <v>8528817.9836150035</v>
      </c>
      <c r="D75" s="305">
        <f t="shared" ref="D75:H75" ca="1" si="27">D23/D74</f>
        <v>8125529.0673091132</v>
      </c>
      <c r="E75" s="305">
        <f t="shared" ca="1" si="27"/>
        <v>8306708.516623877</v>
      </c>
      <c r="F75" s="305">
        <f t="shared" ca="1" si="27"/>
        <v>5537468.6067174384</v>
      </c>
      <c r="G75" s="305">
        <f t="shared" ca="1" si="27"/>
        <v>8020272.6646559527</v>
      </c>
      <c r="H75" s="305">
        <f t="shared" ca="1" si="27"/>
        <v>5835344.7175029991</v>
      </c>
      <c r="I75" s="306">
        <f ca="1">I23/I74</f>
        <v>6119261.6605009548</v>
      </c>
    </row>
    <row r="76" spans="2:10" x14ac:dyDescent="0.25">
      <c r="B76" s="4" t="s">
        <v>117</v>
      </c>
      <c r="C76" s="307">
        <f ca="1">C75/$C$75</f>
        <v>1</v>
      </c>
      <c r="D76" s="307">
        <f ca="1">D75/$C$75</f>
        <v>0.95271455938200789</v>
      </c>
      <c r="E76" s="307">
        <f t="shared" ref="E76:H76" ca="1" si="28">E75/$C$75</f>
        <v>0.97395776678341262</v>
      </c>
      <c r="F76" s="307">
        <f t="shared" ca="1" si="28"/>
        <v>0.64926565643160095</v>
      </c>
      <c r="G76" s="307">
        <f t="shared" ca="1" si="28"/>
        <v>0.94037329440773221</v>
      </c>
      <c r="H76" s="307">
        <f t="shared" ca="1" si="28"/>
        <v>0.68419149391081791</v>
      </c>
      <c r="I76" s="308">
        <f ca="1">I75/$C$75</f>
        <v>0.71748062536413282</v>
      </c>
    </row>
    <row r="77" spans="2:10" x14ac:dyDescent="0.25">
      <c r="B77" s="143" t="s">
        <v>88</v>
      </c>
      <c r="C77" s="309"/>
      <c r="D77" s="239">
        <f ca="1">LN(D76/C76)</f>
        <v>-4.843993815461476E-2</v>
      </c>
      <c r="E77" s="239">
        <f ca="1">LN(E76/D76)</f>
        <v>2.2052601282936426E-2</v>
      </c>
      <c r="F77" s="239">
        <f t="shared" ref="F77:I77" ca="1" si="29">LN(F76/E76)</f>
        <v>-0.40552597721591915</v>
      </c>
      <c r="G77" s="239">
        <f t="shared" ca="1" si="29"/>
        <v>0.37043495324790687</v>
      </c>
      <c r="H77" s="239">
        <f t="shared" ca="1" si="29"/>
        <v>-0.31803907784398316</v>
      </c>
      <c r="I77" s="271">
        <f t="shared" ca="1" si="29"/>
        <v>4.7508103993907563E-2</v>
      </c>
    </row>
    <row r="80" spans="2:10" x14ac:dyDescent="0.25">
      <c r="D80" s="152"/>
    </row>
  </sheetData>
  <phoneticPr fontId="7" type="noConversion"/>
  <pageMargins left="0.75" right="0.75" top="1" bottom="1" header="0.4921259845" footer="0.4921259845"/>
  <pageSetup paperSize="9" scale="45" orientation="landscape" r:id="rId1"/>
  <headerFooter alignWithMargins="0"/>
  <rowBreaks count="1" manualBreakCount="1">
    <brk id="48" max="16383" man="1"/>
  </rowBreaks>
  <ignoredErrors>
    <ignoredError sqref="D23:I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K3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6" sqref="C36"/>
    </sheetView>
  </sheetViews>
  <sheetFormatPr defaultColWidth="11.44140625" defaultRowHeight="13.2" x14ac:dyDescent="0.25"/>
  <cols>
    <col min="1" max="1" width="5.6640625" style="23" bestFit="1" customWidth="1"/>
    <col min="2" max="2" width="45.6640625" style="23" customWidth="1"/>
    <col min="3" max="6" width="14.44140625" style="23" bestFit="1" customWidth="1"/>
    <col min="7" max="7" width="15.33203125" style="23" bestFit="1" customWidth="1"/>
    <col min="8" max="8" width="14.5546875" style="23" bestFit="1" customWidth="1"/>
    <col min="9" max="9" width="14.44140625" style="23" bestFit="1" customWidth="1"/>
    <col min="10" max="10" width="11.44140625" style="23"/>
    <col min="11" max="11" width="15.33203125" style="23" bestFit="1" customWidth="1"/>
    <col min="12" max="16384" width="11.44140625" style="23"/>
  </cols>
  <sheetData>
    <row r="1" spans="2:11" ht="27" customHeight="1" x14ac:dyDescent="0.25">
      <c r="B1" s="87" t="s">
        <v>59</v>
      </c>
      <c r="C1" s="171"/>
      <c r="D1" s="7"/>
      <c r="E1" s="7"/>
      <c r="F1" s="7"/>
      <c r="G1" s="7"/>
      <c r="H1" s="7"/>
      <c r="I1" s="7"/>
    </row>
    <row r="2" spans="2:11" x14ac:dyDescent="0.25">
      <c r="B2" s="31"/>
      <c r="C2" s="32"/>
      <c r="D2" s="32"/>
      <c r="E2" s="32"/>
      <c r="F2" s="32"/>
      <c r="G2" s="32"/>
      <c r="H2" s="32"/>
      <c r="I2" s="32"/>
    </row>
    <row r="3" spans="2:11" x14ac:dyDescent="0.25">
      <c r="B3" s="52" t="s">
        <v>57</v>
      </c>
      <c r="C3" s="53">
        <v>2013</v>
      </c>
      <c r="D3" s="53">
        <v>2014</v>
      </c>
      <c r="E3" s="53">
        <v>2015</v>
      </c>
      <c r="F3" s="53">
        <v>2016</v>
      </c>
      <c r="G3" s="53">
        <v>2017</v>
      </c>
      <c r="H3" s="53">
        <v>2018</v>
      </c>
      <c r="I3" s="53">
        <v>2019</v>
      </c>
    </row>
    <row r="4" spans="2:11" x14ac:dyDescent="0.25">
      <c r="B4" s="190" t="s">
        <v>27</v>
      </c>
      <c r="C4" s="225">
        <f ca="1">RAND()*1000</f>
        <v>727.53393496467686</v>
      </c>
      <c r="D4" s="225">
        <f t="shared" ref="D4:I6" ca="1" si="0">RAND()*1000</f>
        <v>601.4403846079656</v>
      </c>
      <c r="E4" s="225">
        <f t="shared" ca="1" si="0"/>
        <v>369.58582913937732</v>
      </c>
      <c r="F4" s="225">
        <f t="shared" ca="1" si="0"/>
        <v>344.83172618913773</v>
      </c>
      <c r="G4" s="225">
        <f t="shared" ca="1" si="0"/>
        <v>473.39911837687197</v>
      </c>
      <c r="H4" s="225">
        <f t="shared" ca="1" si="0"/>
        <v>827.33321940602661</v>
      </c>
      <c r="I4" s="225">
        <f t="shared" ca="1" si="0"/>
        <v>606.4567461933882</v>
      </c>
      <c r="J4" s="178"/>
    </row>
    <row r="5" spans="2:11" x14ac:dyDescent="0.25">
      <c r="B5" s="190" t="s">
        <v>168</v>
      </c>
      <c r="C5" s="225">
        <f t="shared" ref="C5:C6" ca="1" si="1">RAND()*1000</f>
        <v>113.63755781790863</v>
      </c>
      <c r="D5" s="225">
        <f t="shared" ca="1" si="0"/>
        <v>212.33090239622564</v>
      </c>
      <c r="E5" s="225">
        <f t="shared" ca="1" si="0"/>
        <v>306.4548543328375</v>
      </c>
      <c r="F5" s="225">
        <f t="shared" ca="1" si="0"/>
        <v>346.81953020708403</v>
      </c>
      <c r="G5" s="225">
        <f t="shared" ca="1" si="0"/>
        <v>998.0015624429742</v>
      </c>
      <c r="H5" s="225">
        <f t="shared" ca="1" si="0"/>
        <v>671.27795062699545</v>
      </c>
      <c r="I5" s="225">
        <f t="shared" ca="1" si="0"/>
        <v>191.87484114176567</v>
      </c>
      <c r="J5" s="178"/>
    </row>
    <row r="6" spans="2:11" x14ac:dyDescent="0.25">
      <c r="B6" s="190" t="s">
        <v>28</v>
      </c>
      <c r="C6" s="225">
        <f t="shared" ca="1" si="1"/>
        <v>363.25571453184602</v>
      </c>
      <c r="D6" s="225">
        <f t="shared" ca="1" si="0"/>
        <v>236.95870710058898</v>
      </c>
      <c r="E6" s="225">
        <f t="shared" ca="1" si="0"/>
        <v>200.6990675690077</v>
      </c>
      <c r="F6" s="225">
        <f t="shared" ca="1" si="0"/>
        <v>43.229347950705431</v>
      </c>
      <c r="G6" s="225">
        <f t="shared" ca="1" si="0"/>
        <v>763.8839324646425</v>
      </c>
      <c r="H6" s="225">
        <f t="shared" ca="1" si="0"/>
        <v>838.7843114887728</v>
      </c>
      <c r="I6" s="225">
        <f t="shared" ca="1" si="0"/>
        <v>292.51123407931732</v>
      </c>
      <c r="J6" s="178"/>
    </row>
    <row r="7" spans="2:11" x14ac:dyDescent="0.25">
      <c r="B7" s="191" t="s">
        <v>58</v>
      </c>
      <c r="C7" s="226">
        <f t="shared" ref="C7:I7" ca="1" si="2">SUM(C3:C6)</f>
        <v>3217.4272073144316</v>
      </c>
      <c r="D7" s="226">
        <f t="shared" ca="1" si="2"/>
        <v>3064.7299941047804</v>
      </c>
      <c r="E7" s="226">
        <f t="shared" ca="1" si="2"/>
        <v>2891.7397510412225</v>
      </c>
      <c r="F7" s="226">
        <f t="shared" ca="1" si="2"/>
        <v>2750.8806043469272</v>
      </c>
      <c r="G7" s="226">
        <f t="shared" ca="1" si="2"/>
        <v>4252.2846132844888</v>
      </c>
      <c r="H7" s="226">
        <f t="shared" ca="1" si="2"/>
        <v>4355.3954815217949</v>
      </c>
      <c r="I7" s="226">
        <f t="shared" ca="1" si="2"/>
        <v>3109.8428214144715</v>
      </c>
      <c r="J7" s="178"/>
    </row>
    <row r="8" spans="2:11" x14ac:dyDescent="0.25">
      <c r="B8" s="182"/>
      <c r="C8" s="227"/>
      <c r="D8" s="227"/>
      <c r="E8" s="227"/>
      <c r="F8" s="227"/>
      <c r="G8" s="228"/>
      <c r="H8" s="228"/>
      <c r="I8" s="228"/>
      <c r="J8" s="178"/>
    </row>
    <row r="9" spans="2:11" x14ac:dyDescent="0.25">
      <c r="B9" s="52" t="s">
        <v>29</v>
      </c>
      <c r="C9" s="229"/>
      <c r="D9" s="230"/>
      <c r="E9" s="230"/>
      <c r="F9" s="230"/>
      <c r="G9" s="230"/>
      <c r="H9" s="230"/>
      <c r="I9" s="230"/>
    </row>
    <row r="10" spans="2:11" x14ac:dyDescent="0.25">
      <c r="B10" s="51" t="s">
        <v>48</v>
      </c>
      <c r="C10" s="231">
        <f ca="1">RAND()*100</f>
        <v>20.837622315679294</v>
      </c>
      <c r="D10" s="231">
        <f t="shared" ref="D10:I10" ca="1" si="3">RAND()*100</f>
        <v>72.067794779510379</v>
      </c>
      <c r="E10" s="231">
        <f t="shared" ca="1" si="3"/>
        <v>4.8852950944999414</v>
      </c>
      <c r="F10" s="231">
        <f t="shared" ca="1" si="3"/>
        <v>76.787074812647219</v>
      </c>
      <c r="G10" s="231">
        <f t="shared" ca="1" si="3"/>
        <v>69.453860432858733</v>
      </c>
      <c r="H10" s="231">
        <f t="shared" ca="1" si="3"/>
        <v>43.360508979162596</v>
      </c>
      <c r="I10" s="231">
        <f t="shared" ca="1" si="3"/>
        <v>60.037596299606676</v>
      </c>
      <c r="K10" s="174"/>
    </row>
    <row r="11" spans="2:11" x14ac:dyDescent="0.25">
      <c r="B11" s="51" t="s">
        <v>49</v>
      </c>
      <c r="C11" s="225">
        <f ca="1">RAND()*1000</f>
        <v>752.68755962545868</v>
      </c>
      <c r="D11" s="225">
        <f t="shared" ref="D11:I13" ca="1" si="4">RAND()*1000</f>
        <v>428.56113442718777</v>
      </c>
      <c r="E11" s="225">
        <f t="shared" ca="1" si="4"/>
        <v>347.04294176780991</v>
      </c>
      <c r="F11" s="225">
        <f t="shared" ca="1" si="4"/>
        <v>648.8856841819902</v>
      </c>
      <c r="G11" s="225">
        <f t="shared" ca="1" si="4"/>
        <v>946.06754622137419</v>
      </c>
      <c r="H11" s="225">
        <f t="shared" ca="1" si="4"/>
        <v>880.85327449011049</v>
      </c>
      <c r="I11" s="225">
        <f t="shared" ca="1" si="4"/>
        <v>14.641210163536588</v>
      </c>
      <c r="K11" s="174"/>
    </row>
    <row r="12" spans="2:11" x14ac:dyDescent="0.25">
      <c r="B12" s="51" t="s">
        <v>50</v>
      </c>
      <c r="C12" s="225">
        <f t="shared" ref="C12:C13" ca="1" si="5">RAND()*1000</f>
        <v>950.38879995701427</v>
      </c>
      <c r="D12" s="225">
        <f t="shared" ca="1" si="4"/>
        <v>311.12981964753897</v>
      </c>
      <c r="E12" s="225">
        <f t="shared" ca="1" si="4"/>
        <v>615.39456442887581</v>
      </c>
      <c r="F12" s="225">
        <f t="shared" ca="1" si="4"/>
        <v>836.65422848715502</v>
      </c>
      <c r="G12" s="225">
        <f t="shared" ca="1" si="4"/>
        <v>359.94972237544243</v>
      </c>
      <c r="H12" s="225">
        <f t="shared" ca="1" si="4"/>
        <v>121.06625476986198</v>
      </c>
      <c r="I12" s="225">
        <f t="shared" ca="1" si="4"/>
        <v>208.46581329244108</v>
      </c>
      <c r="K12" s="174"/>
    </row>
    <row r="13" spans="2:11" x14ac:dyDescent="0.25">
      <c r="B13" s="24" t="s">
        <v>76</v>
      </c>
      <c r="C13" s="225">
        <f t="shared" ca="1" si="5"/>
        <v>627.06542531745845</v>
      </c>
      <c r="D13" s="225">
        <f t="shared" ca="1" si="4"/>
        <v>934.6149906546184</v>
      </c>
      <c r="E13" s="225">
        <f t="shared" ca="1" si="4"/>
        <v>719.40147290385448</v>
      </c>
      <c r="F13" s="225">
        <f t="shared" ca="1" si="4"/>
        <v>535.27974372751612</v>
      </c>
      <c r="G13" s="225">
        <f t="shared" ca="1" si="4"/>
        <v>357.33803445434478</v>
      </c>
      <c r="H13" s="225">
        <f t="shared" ca="1" si="4"/>
        <v>516.34471418937062</v>
      </c>
      <c r="I13" s="225">
        <f t="shared" ca="1" si="4"/>
        <v>905.71492360507455</v>
      </c>
      <c r="K13" s="174"/>
    </row>
    <row r="14" spans="2:11" x14ac:dyDescent="0.25">
      <c r="B14" s="39" t="s">
        <v>30</v>
      </c>
      <c r="C14" s="232">
        <f ca="1">SUM(C10:C13)</f>
        <v>2350.9794072156105</v>
      </c>
      <c r="D14" s="232">
        <f ca="1">SUM(D10:D13)</f>
        <v>1746.3737395088556</v>
      </c>
      <c r="E14" s="232">
        <f t="shared" ref="E14:I14" ca="1" si="6">SUM(E10:E13)</f>
        <v>1686.7242741950402</v>
      </c>
      <c r="F14" s="232">
        <f t="shared" ca="1" si="6"/>
        <v>2097.6067312093087</v>
      </c>
      <c r="G14" s="233">
        <f ca="1">SUM(G10:G13)</f>
        <v>1732.8091634840202</v>
      </c>
      <c r="H14" s="232">
        <f t="shared" ca="1" si="6"/>
        <v>1561.6247524285059</v>
      </c>
      <c r="I14" s="232">
        <f t="shared" ca="1" si="6"/>
        <v>1188.8595433606588</v>
      </c>
      <c r="K14" s="174"/>
    </row>
    <row r="15" spans="2:11" x14ac:dyDescent="0.25">
      <c r="B15" s="6"/>
      <c r="C15" s="228"/>
      <c r="D15" s="228"/>
      <c r="E15" s="228"/>
      <c r="F15" s="228"/>
      <c r="G15" s="228"/>
      <c r="H15" s="228"/>
      <c r="I15" s="228"/>
      <c r="K15" s="174"/>
    </row>
    <row r="16" spans="2:11" x14ac:dyDescent="0.25">
      <c r="B16" s="52" t="s">
        <v>51</v>
      </c>
      <c r="C16" s="229"/>
      <c r="D16" s="230"/>
      <c r="E16" s="230"/>
      <c r="F16" s="230"/>
      <c r="G16" s="230"/>
      <c r="H16" s="230"/>
      <c r="I16" s="230"/>
    </row>
    <row r="17" spans="2:10" x14ac:dyDescent="0.25">
      <c r="B17" s="189" t="s">
        <v>52</v>
      </c>
      <c r="C17" s="231">
        <f ca="1">RAND()*100000</f>
        <v>42271.918421851537</v>
      </c>
      <c r="D17" s="231">
        <f t="shared" ref="D17:I20" ca="1" si="7">RAND()*100000</f>
        <v>83241.888204497896</v>
      </c>
      <c r="E17" s="231">
        <f t="shared" ca="1" si="7"/>
        <v>43144.375097356184</v>
      </c>
      <c r="F17" s="231">
        <f t="shared" ca="1" si="7"/>
        <v>41156.05061336817</v>
      </c>
      <c r="G17" s="231">
        <f t="shared" ca="1" si="7"/>
        <v>55171.918007947206</v>
      </c>
      <c r="H17" s="231">
        <f t="shared" ca="1" si="7"/>
        <v>67298.069397738931</v>
      </c>
      <c r="I17" s="231">
        <f t="shared" ca="1" si="7"/>
        <v>21829.760704428169</v>
      </c>
    </row>
    <row r="18" spans="2:10" x14ac:dyDescent="0.25">
      <c r="B18" s="189" t="s">
        <v>53</v>
      </c>
      <c r="C18" s="231">
        <f ca="1">RAND()*100000</f>
        <v>38933.279186409243</v>
      </c>
      <c r="D18" s="231">
        <f t="shared" ca="1" si="7"/>
        <v>70297.121093474852</v>
      </c>
      <c r="E18" s="231">
        <f t="shared" ca="1" si="7"/>
        <v>73426.400529595048</v>
      </c>
      <c r="F18" s="231">
        <f t="shared" ca="1" si="7"/>
        <v>26578.944036587982</v>
      </c>
      <c r="G18" s="231">
        <f t="shared" ca="1" si="7"/>
        <v>77267.822621271567</v>
      </c>
      <c r="H18" s="231">
        <f t="shared" ca="1" si="7"/>
        <v>88706.770823812592</v>
      </c>
      <c r="I18" s="231">
        <f t="shared" ca="1" si="7"/>
        <v>11033.051127129746</v>
      </c>
    </row>
    <row r="19" spans="2:10" x14ac:dyDescent="0.25">
      <c r="B19" s="189" t="s">
        <v>54</v>
      </c>
      <c r="C19" s="231">
        <v>0</v>
      </c>
      <c r="D19" s="231">
        <v>0</v>
      </c>
      <c r="E19" s="231">
        <f ca="1">RAND()*100000</f>
        <v>61909.167303385992</v>
      </c>
      <c r="F19" s="231">
        <f t="shared" ca="1" si="7"/>
        <v>98656.430615426245</v>
      </c>
      <c r="G19" s="231">
        <f t="shared" ca="1" si="7"/>
        <v>92094.273013251164</v>
      </c>
      <c r="H19" s="231">
        <f t="shared" ca="1" si="7"/>
        <v>73508.937621268007</v>
      </c>
      <c r="I19" s="231">
        <f t="shared" ca="1" si="7"/>
        <v>68018.031319997681</v>
      </c>
    </row>
    <row r="20" spans="2:10" x14ac:dyDescent="0.25">
      <c r="B20" s="189" t="s">
        <v>55</v>
      </c>
      <c r="C20" s="231">
        <f ca="1">RAND()*100000</f>
        <v>33111.549307075496</v>
      </c>
      <c r="D20" s="231">
        <f ca="1">RAND()*100000</f>
        <v>25981.541851798738</v>
      </c>
      <c r="E20" s="231">
        <f ca="1">RAND()*100000</f>
        <v>64532.487175029317</v>
      </c>
      <c r="F20" s="231">
        <f t="shared" ca="1" si="7"/>
        <v>96258.263291462325</v>
      </c>
      <c r="G20" s="231">
        <f t="shared" ca="1" si="7"/>
        <v>78052.854304086897</v>
      </c>
      <c r="H20" s="231">
        <f t="shared" ca="1" si="7"/>
        <v>16547.08569302833</v>
      </c>
      <c r="I20" s="231">
        <f t="shared" ca="1" si="7"/>
        <v>94399.893688790922</v>
      </c>
    </row>
    <row r="21" spans="2:10" x14ac:dyDescent="0.25">
      <c r="B21" s="47" t="s">
        <v>56</v>
      </c>
      <c r="C21" s="233">
        <f ca="1">SUM(C17:C20)</f>
        <v>114316.74691533629</v>
      </c>
      <c r="D21" s="233">
        <f ca="1">SUM(D17:D20)</f>
        <v>179520.55114977149</v>
      </c>
      <c r="E21" s="233">
        <f ca="1">SUM(E17:E20)</f>
        <v>243012.43010536654</v>
      </c>
      <c r="F21" s="233">
        <f t="shared" ref="F21:I21" ca="1" si="8">SUM(F17:F20)</f>
        <v>262649.68855684472</v>
      </c>
      <c r="G21" s="233">
        <f ca="1">SUM(G17:G20)</f>
        <v>302586.86794655683</v>
      </c>
      <c r="H21" s="233">
        <f t="shared" ca="1" si="8"/>
        <v>246060.86353584786</v>
      </c>
      <c r="I21" s="233">
        <f t="shared" ca="1" si="8"/>
        <v>195280.73684034654</v>
      </c>
    </row>
    <row r="22" spans="2:10" x14ac:dyDescent="0.25">
      <c r="B22" s="9"/>
      <c r="C22" s="234"/>
      <c r="D22" s="234"/>
      <c r="E22" s="234"/>
      <c r="F22" s="234"/>
      <c r="G22" s="234"/>
      <c r="H22" s="234"/>
      <c r="I22" s="234"/>
    </row>
    <row r="23" spans="2:10" x14ac:dyDescent="0.25">
      <c r="B23" s="52" t="s">
        <v>59</v>
      </c>
      <c r="C23" s="229"/>
      <c r="D23" s="230"/>
      <c r="E23" s="230"/>
      <c r="F23" s="230"/>
      <c r="G23" s="230"/>
      <c r="H23" s="230"/>
      <c r="I23" s="230"/>
    </row>
    <row r="24" spans="2:10" s="141" customFormat="1" x14ac:dyDescent="0.25">
      <c r="B24" s="142" t="s">
        <v>59</v>
      </c>
      <c r="C24" s="235">
        <f ca="1">C7+C14-C21</f>
        <v>-108748.34030080625</v>
      </c>
      <c r="D24" s="235">
        <f ca="1">D7+D14-D21</f>
        <v>-174709.44741615787</v>
      </c>
      <c r="E24" s="235">
        <f ca="1">E7+E14-E21</f>
        <v>-238433.96608013028</v>
      </c>
      <c r="F24" s="235">
        <f t="shared" ref="F24:H24" ca="1" si="9">F7+F14-F21</f>
        <v>-257801.20122128847</v>
      </c>
      <c r="G24" s="235">
        <f ca="1">G7+G14-G21</f>
        <v>-296601.77416978835</v>
      </c>
      <c r="H24" s="235">
        <f t="shared" ca="1" si="9"/>
        <v>-240143.84330189758</v>
      </c>
      <c r="I24" s="235">
        <f ca="1">I7+I14-I21</f>
        <v>-190982.03447557142</v>
      </c>
    </row>
    <row r="25" spans="2:10" s="141" customFormat="1" x14ac:dyDescent="0.25">
      <c r="B25" s="23"/>
      <c r="C25" s="23"/>
      <c r="D25" s="23"/>
      <c r="E25" s="23"/>
      <c r="F25" s="23"/>
      <c r="G25" s="23"/>
      <c r="H25" s="23"/>
      <c r="I25" s="23"/>
    </row>
    <row r="26" spans="2:10" x14ac:dyDescent="0.25">
      <c r="B26" s="75" t="s">
        <v>105</v>
      </c>
      <c r="J26" s="175"/>
    </row>
    <row r="27" spans="2:10" x14ac:dyDescent="0.25">
      <c r="B27" s="148" t="s">
        <v>106</v>
      </c>
      <c r="C27" s="149">
        <f>'Indicii prețurilor'!C45</f>
        <v>1</v>
      </c>
      <c r="D27" s="149">
        <f>'Indicii prețurilor'!D45</f>
        <v>1.0084</v>
      </c>
      <c r="E27" s="149">
        <f>'Indicii prețurilor'!E45</f>
        <v>1.0142487199999999</v>
      </c>
      <c r="F27" s="149">
        <f>'Indicii prețurilor'!F45</f>
        <v>1.0095831758879998</v>
      </c>
      <c r="G27" s="149">
        <f>'Indicii prețurilor'!G45</f>
        <v>1.0381543797656303</v>
      </c>
      <c r="H27" s="149">
        <f>'Indicii prețurilor'!H45</f>
        <v>1.0796805549562556</v>
      </c>
      <c r="I27" s="149">
        <f>'Indicii prețurilor'!I45</f>
        <v>1.1538546090817503</v>
      </c>
      <c r="J27" s="6"/>
    </row>
    <row r="28" spans="2:10" x14ac:dyDescent="0.25">
      <c r="J28" s="6"/>
    </row>
    <row r="29" spans="2:10" x14ac:dyDescent="0.25">
      <c r="B29" s="75" t="s">
        <v>132</v>
      </c>
    </row>
    <row r="30" spans="2:10" x14ac:dyDescent="0.25">
      <c r="B30" s="148" t="s">
        <v>133</v>
      </c>
      <c r="C30" s="192">
        <v>1</v>
      </c>
      <c r="D30" s="149">
        <f ca="1">SUMPRODUCT(C7,D27)/SUMPRODUCT(C7,C27)</f>
        <v>1.0084</v>
      </c>
      <c r="E30" s="149">
        <f t="shared" ref="E30:I30" ca="1" si="10">SUMPRODUCT(D7,E27)/SUMPRODUCT(D7,D27)</f>
        <v>1.0057999999999998</v>
      </c>
      <c r="F30" s="149">
        <f t="shared" ca="1" si="10"/>
        <v>0.99539999999999984</v>
      </c>
      <c r="G30" s="149">
        <f t="shared" ca="1" si="10"/>
        <v>1.0283</v>
      </c>
      <c r="H30" s="149">
        <f t="shared" ca="1" si="10"/>
        <v>1.04</v>
      </c>
      <c r="I30" s="149">
        <f t="shared" ca="1" si="10"/>
        <v>1.0687</v>
      </c>
      <c r="J30" s="6"/>
    </row>
    <row r="31" spans="2:10" x14ac:dyDescent="0.25">
      <c r="B31" s="148" t="s">
        <v>134</v>
      </c>
      <c r="C31" s="192">
        <v>1</v>
      </c>
      <c r="D31" s="192">
        <f ca="1">SUMPRODUCT(D7,D27)/SUMPRODUCT(D7,C27)</f>
        <v>1.0084</v>
      </c>
      <c r="E31" s="192">
        <f t="shared" ref="E31:I31" ca="1" si="11">SUMPRODUCT(E7,E27)/SUMPRODUCT(E7,D27)</f>
        <v>1.0058</v>
      </c>
      <c r="F31" s="192">
        <f t="shared" ca="1" si="11"/>
        <v>0.99539999999999995</v>
      </c>
      <c r="G31" s="192">
        <f t="shared" ca="1" si="11"/>
        <v>1.0283</v>
      </c>
      <c r="H31" s="192">
        <f t="shared" ca="1" si="11"/>
        <v>1.04</v>
      </c>
      <c r="I31" s="192">
        <f t="shared" ca="1" si="11"/>
        <v>1.0687</v>
      </c>
      <c r="J31" s="6"/>
    </row>
    <row r="32" spans="2:10" x14ac:dyDescent="0.25">
      <c r="B32" s="148" t="s">
        <v>122</v>
      </c>
      <c r="C32" s="192">
        <v>1</v>
      </c>
      <c r="D32" s="192">
        <f ca="1">(D30*D31)^0.5</f>
        <v>1.0084</v>
      </c>
      <c r="E32" s="192">
        <f t="shared" ref="E32:I32" ca="1" si="12">(E30*E31)^0.5</f>
        <v>1.0058</v>
      </c>
      <c r="F32" s="192">
        <f t="shared" ca="1" si="12"/>
        <v>0.99539999999999984</v>
      </c>
      <c r="G32" s="192">
        <f t="shared" ca="1" si="12"/>
        <v>1.0283</v>
      </c>
      <c r="H32" s="192">
        <f t="shared" ca="1" si="12"/>
        <v>1.04</v>
      </c>
      <c r="I32" s="192">
        <f t="shared" ca="1" si="12"/>
        <v>1.0687</v>
      </c>
      <c r="J32" s="6"/>
    </row>
    <row r="33" spans="2:10" x14ac:dyDescent="0.25">
      <c r="B33" s="148" t="s">
        <v>135</v>
      </c>
      <c r="C33" s="192">
        <v>1</v>
      </c>
      <c r="D33" s="192">
        <f ca="1">C33*D32</f>
        <v>1.0084</v>
      </c>
      <c r="E33" s="192">
        <f t="shared" ref="E33:I33" ca="1" si="13">D33*E32</f>
        <v>1.0142487199999999</v>
      </c>
      <c r="F33" s="192">
        <f t="shared" ca="1" si="13"/>
        <v>1.0095831758879996</v>
      </c>
      <c r="G33" s="192">
        <f t="shared" ca="1" si="13"/>
        <v>1.0381543797656301</v>
      </c>
      <c r="H33" s="192">
        <f t="shared" ca="1" si="13"/>
        <v>1.0796805549562554</v>
      </c>
      <c r="I33" s="192">
        <f t="shared" ca="1" si="13"/>
        <v>1.1538546090817501</v>
      </c>
      <c r="J33" s="6"/>
    </row>
    <row r="34" spans="2:10" x14ac:dyDescent="0.25">
      <c r="B34" s="147"/>
    </row>
    <row r="35" spans="2:10" x14ac:dyDescent="0.25">
      <c r="B35" s="161" t="s">
        <v>109</v>
      </c>
      <c r="C35" s="236">
        <f ca="1">C7/C33</f>
        <v>3217.4272073144316</v>
      </c>
      <c r="D35" s="236">
        <f t="shared" ref="D35:I35" ca="1" si="14">D7/D33</f>
        <v>3039.2007081562679</v>
      </c>
      <c r="E35" s="236">
        <f t="shared" ca="1" si="14"/>
        <v>2851.1150115537962</v>
      </c>
      <c r="F35" s="236">
        <f t="shared" ca="1" si="14"/>
        <v>2724.7686669573645</v>
      </c>
      <c r="G35" s="236">
        <f t="shared" ca="1" si="14"/>
        <v>4096.0041166945412</v>
      </c>
      <c r="H35" s="236">
        <f ca="1">H7/H33</f>
        <v>4033.9667705678548</v>
      </c>
      <c r="I35" s="236">
        <f t="shared" ca="1" si="14"/>
        <v>2695.1773619809155</v>
      </c>
    </row>
    <row r="36" spans="2:10" x14ac:dyDescent="0.25">
      <c r="B36" s="47" t="s">
        <v>108</v>
      </c>
      <c r="C36" s="237">
        <f ca="1">C35/$C$35</f>
        <v>1</v>
      </c>
      <c r="D36" s="237">
        <f t="shared" ref="D36:I36" ca="1" si="15">D35/$C$35</f>
        <v>0.94460589543316242</v>
      </c>
      <c r="E36" s="237">
        <f t="shared" ca="1" si="15"/>
        <v>0.88614747990945408</v>
      </c>
      <c r="F36" s="237">
        <f t="shared" ca="1" si="15"/>
        <v>0.8468781083105571</v>
      </c>
      <c r="G36" s="237">
        <f t="shared" ca="1" si="15"/>
        <v>1.2730681543883173</v>
      </c>
      <c r="H36" s="237">
        <f t="shared" ca="1" si="15"/>
        <v>1.2537864917027863</v>
      </c>
      <c r="I36" s="237">
        <f t="shared" ca="1" si="15"/>
        <v>0.8376809134496519</v>
      </c>
    </row>
  </sheetData>
  <phoneticPr fontId="7" type="noConversion"/>
  <pageMargins left="0.75" right="0.75" top="1" bottom="1" header="0.4921259845" footer="0.4921259845"/>
  <pageSetup paperSize="9" fitToWidth="2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B1:J20"/>
  <sheetViews>
    <sheetView zoomScale="85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7" sqref="K17"/>
    </sheetView>
  </sheetViews>
  <sheetFormatPr defaultColWidth="11.44140625" defaultRowHeight="13.2" x14ac:dyDescent="0.25"/>
  <cols>
    <col min="1" max="1" width="3.6640625" style="23" customWidth="1"/>
    <col min="2" max="2" width="45.6640625" style="23" customWidth="1"/>
    <col min="3" max="5" width="12" style="23" bestFit="1" customWidth="1"/>
    <col min="6" max="6" width="13.6640625" style="23" bestFit="1" customWidth="1"/>
    <col min="7" max="7" width="15.6640625" style="23" bestFit="1" customWidth="1"/>
    <col min="8" max="8" width="14.33203125" style="23" customWidth="1"/>
    <col min="9" max="9" width="14.5546875" style="23" customWidth="1"/>
    <col min="10" max="16384" width="11.44140625" style="23"/>
  </cols>
  <sheetData>
    <row r="1" spans="2:9" ht="27" customHeight="1" x14ac:dyDescent="0.25">
      <c r="B1" s="87" t="s">
        <v>6</v>
      </c>
      <c r="C1" s="7"/>
      <c r="D1" s="7"/>
      <c r="E1" s="7"/>
      <c r="F1" s="7"/>
      <c r="G1" s="7"/>
      <c r="H1" s="7"/>
      <c r="I1" s="7"/>
    </row>
    <row r="2" spans="2:9" x14ac:dyDescent="0.25">
      <c r="B2" s="31"/>
      <c r="C2" s="60"/>
      <c r="D2" s="32"/>
      <c r="E2" s="32"/>
      <c r="F2" s="60"/>
      <c r="G2" s="32"/>
      <c r="H2" s="32"/>
      <c r="I2" s="32"/>
    </row>
    <row r="3" spans="2:9" x14ac:dyDescent="0.25">
      <c r="B3" s="52" t="s">
        <v>137</v>
      </c>
      <c r="C3" s="80">
        <v>2013</v>
      </c>
      <c r="D3" s="80">
        <v>2014</v>
      </c>
      <c r="E3" s="80">
        <v>2015</v>
      </c>
      <c r="F3" s="80">
        <v>2016</v>
      </c>
      <c r="G3" s="80">
        <v>2017</v>
      </c>
      <c r="H3" s="80">
        <v>2018</v>
      </c>
      <c r="I3" s="80">
        <v>2019</v>
      </c>
    </row>
    <row r="4" spans="2:9" x14ac:dyDescent="0.25">
      <c r="B4" s="50" t="s">
        <v>61</v>
      </c>
      <c r="C4" s="238">
        <f ca="1">RAND()*1000</f>
        <v>423.76861510278076</v>
      </c>
      <c r="D4" s="238">
        <f t="shared" ref="D4:I8" ca="1" si="0">RAND()*1000</f>
        <v>786.86659870050198</v>
      </c>
      <c r="E4" s="238">
        <f t="shared" ca="1" si="0"/>
        <v>903.41481010894597</v>
      </c>
      <c r="F4" s="238">
        <f t="shared" ca="1" si="0"/>
        <v>305.53582776941425</v>
      </c>
      <c r="G4" s="238">
        <f t="shared" ca="1" si="0"/>
        <v>83.423103553437628</v>
      </c>
      <c r="H4" s="238">
        <f t="shared" ca="1" si="0"/>
        <v>458.10826875696455</v>
      </c>
      <c r="I4" s="238">
        <f t="shared" ca="1" si="0"/>
        <v>215.25016926876538</v>
      </c>
    </row>
    <row r="5" spans="2:9" x14ac:dyDescent="0.25">
      <c r="B5" s="50" t="s">
        <v>62</v>
      </c>
      <c r="C5" s="238">
        <f t="shared" ref="C5:C8" ca="1" si="1">RAND()*1000</f>
        <v>119.98611171556949</v>
      </c>
      <c r="D5" s="238">
        <f t="shared" ca="1" si="0"/>
        <v>808.97846101726907</v>
      </c>
      <c r="E5" s="238">
        <f t="shared" ca="1" si="0"/>
        <v>183.82059535500139</v>
      </c>
      <c r="F5" s="238">
        <f t="shared" ca="1" si="0"/>
        <v>256.93357947893014</v>
      </c>
      <c r="G5" s="238">
        <f t="shared" ca="1" si="0"/>
        <v>454.99586215987051</v>
      </c>
      <c r="H5" s="238">
        <f t="shared" ca="1" si="0"/>
        <v>269.53010990418846</v>
      </c>
      <c r="I5" s="238">
        <f t="shared" ca="1" si="0"/>
        <v>356.86689269148928</v>
      </c>
    </row>
    <row r="6" spans="2:9" x14ac:dyDescent="0.25">
      <c r="B6" s="50" t="s">
        <v>63</v>
      </c>
      <c r="C6" s="238">
        <f t="shared" ca="1" si="1"/>
        <v>256.81300753957447</v>
      </c>
      <c r="D6" s="238">
        <f t="shared" ca="1" si="0"/>
        <v>19.756235232480712</v>
      </c>
      <c r="E6" s="238">
        <f t="shared" ca="1" si="0"/>
        <v>32.232387025999287</v>
      </c>
      <c r="F6" s="238">
        <f t="shared" ca="1" si="0"/>
        <v>408.38924420561386</v>
      </c>
      <c r="G6" s="238">
        <f t="shared" ca="1" si="0"/>
        <v>761.74500313868384</v>
      </c>
      <c r="H6" s="238">
        <f t="shared" ca="1" si="0"/>
        <v>484.3362077881236</v>
      </c>
      <c r="I6" s="238">
        <f t="shared" ca="1" si="0"/>
        <v>179.38350381896728</v>
      </c>
    </row>
    <row r="7" spans="2:9" x14ac:dyDescent="0.25">
      <c r="B7" s="50" t="s">
        <v>25</v>
      </c>
      <c r="C7" s="238">
        <f t="shared" ca="1" si="1"/>
        <v>775.84195402657429</v>
      </c>
      <c r="D7" s="238">
        <f t="shared" ca="1" si="0"/>
        <v>332.98300969318507</v>
      </c>
      <c r="E7" s="238">
        <f t="shared" ca="1" si="0"/>
        <v>626.51897642740369</v>
      </c>
      <c r="F7" s="238">
        <f t="shared" ca="1" si="0"/>
        <v>306.50855476847005</v>
      </c>
      <c r="G7" s="238">
        <f t="shared" ca="1" si="0"/>
        <v>825.59069995073185</v>
      </c>
      <c r="H7" s="238">
        <f t="shared" ca="1" si="0"/>
        <v>97.104538822606386</v>
      </c>
      <c r="I7" s="238">
        <f t="shared" ca="1" si="0"/>
        <v>465.64693374652575</v>
      </c>
    </row>
    <row r="8" spans="2:9" x14ac:dyDescent="0.25">
      <c r="B8" s="3" t="s">
        <v>4</v>
      </c>
      <c r="C8" s="238">
        <f t="shared" ca="1" si="1"/>
        <v>546.34037007131758</v>
      </c>
      <c r="D8" s="238">
        <f t="shared" ca="1" si="0"/>
        <v>961.48795731165899</v>
      </c>
      <c r="E8" s="238">
        <f t="shared" ca="1" si="0"/>
        <v>264.28180397477587</v>
      </c>
      <c r="F8" s="238">
        <f t="shared" ca="1" si="0"/>
        <v>745.98565177642456</v>
      </c>
      <c r="G8" s="238">
        <f t="shared" ca="1" si="0"/>
        <v>540.06803751484006</v>
      </c>
      <c r="H8" s="238">
        <f t="shared" ca="1" si="0"/>
        <v>385.15254088259263</v>
      </c>
      <c r="I8" s="238">
        <f t="shared" ca="1" si="0"/>
        <v>134.47003557290083</v>
      </c>
    </row>
    <row r="9" spans="2:9" x14ac:dyDescent="0.25">
      <c r="B9" s="3" t="s">
        <v>1</v>
      </c>
      <c r="C9" s="211">
        <f t="shared" ref="C9:I9" ca="1" si="2">C4-C5-C6</f>
        <v>46.969495847636779</v>
      </c>
      <c r="D9" s="211">
        <f t="shared" ca="1" si="2"/>
        <v>-41.8680975492478</v>
      </c>
      <c r="E9" s="211">
        <f t="shared" ca="1" si="2"/>
        <v>687.3618277279453</v>
      </c>
      <c r="F9" s="211">
        <f t="shared" ca="1" si="2"/>
        <v>-359.78699591512975</v>
      </c>
      <c r="G9" s="211">
        <f t="shared" ca="1" si="2"/>
        <v>-1133.3177617451167</v>
      </c>
      <c r="H9" s="211">
        <f t="shared" ca="1" si="2"/>
        <v>-295.75804893534752</v>
      </c>
      <c r="I9" s="212">
        <f t="shared" ca="1" si="2"/>
        <v>-321.00022724169116</v>
      </c>
    </row>
    <row r="10" spans="2:9" x14ac:dyDescent="0.25">
      <c r="B10" s="57" t="s">
        <v>2</v>
      </c>
      <c r="C10" s="211">
        <f ca="1">C9-C7</f>
        <v>-728.87245817893745</v>
      </c>
      <c r="D10" s="211">
        <f t="shared" ref="D10:I10" ca="1" si="3">D9-D7</f>
        <v>-374.85110724243287</v>
      </c>
      <c r="E10" s="211">
        <f t="shared" ca="1" si="3"/>
        <v>60.842851300541611</v>
      </c>
      <c r="F10" s="211">
        <f t="shared" ca="1" si="3"/>
        <v>-666.2955506835998</v>
      </c>
      <c r="G10" s="211">
        <f t="shared" ca="1" si="3"/>
        <v>-1958.9084616958485</v>
      </c>
      <c r="H10" s="211">
        <f ca="1">H9-H7</f>
        <v>-392.86258775795392</v>
      </c>
      <c r="I10" s="212">
        <f t="shared" ca="1" si="3"/>
        <v>-786.64716098821691</v>
      </c>
    </row>
    <row r="11" spans="2:9" x14ac:dyDescent="0.25">
      <c r="B11" s="85" t="s">
        <v>59</v>
      </c>
      <c r="C11" s="213">
        <f ca="1">'Capital angajat-dummy data'!C24</f>
        <v>-108748.34030080625</v>
      </c>
      <c r="D11" s="213">
        <f ca="1">'Capital angajat-dummy data'!D24</f>
        <v>-174709.44741615787</v>
      </c>
      <c r="E11" s="213">
        <f ca="1">'Capital angajat-dummy data'!E24</f>
        <v>-238433.96608013028</v>
      </c>
      <c r="F11" s="213">
        <f ca="1">'Capital angajat-dummy data'!F24</f>
        <v>-257801.20122128847</v>
      </c>
      <c r="G11" s="213">
        <f ca="1">'Capital angajat-dummy data'!G24</f>
        <v>-296601.77416978835</v>
      </c>
      <c r="H11" s="213">
        <f ca="1">'Capital angajat-dummy data'!H24</f>
        <v>-240143.84330189758</v>
      </c>
      <c r="I11" s="213">
        <f ca="1">'Capital angajat-dummy data'!I24</f>
        <v>-190982.03447557142</v>
      </c>
    </row>
    <row r="12" spans="2:9" x14ac:dyDescent="0.25">
      <c r="B12" s="143" t="s">
        <v>64</v>
      </c>
      <c r="C12" s="239">
        <f ca="1">C10/C11</f>
        <v>6.7023777665279338E-3</v>
      </c>
      <c r="D12" s="239">
        <f t="shared" ref="D12:G12" ca="1" si="4">D10/D11</f>
        <v>2.1455686157002009E-3</v>
      </c>
      <c r="E12" s="239">
        <f t="shared" ca="1" si="4"/>
        <v>-2.5517694605681397E-4</v>
      </c>
      <c r="F12" s="239">
        <f t="shared" ca="1" si="4"/>
        <v>2.5845323742757606E-3</v>
      </c>
      <c r="G12" s="239">
        <f t="shared" ca="1" si="4"/>
        <v>6.6045068920406397E-3</v>
      </c>
      <c r="H12" s="239">
        <f ca="1">H10/H11</f>
        <v>1.635946948946201E-3</v>
      </c>
      <c r="I12" s="239">
        <f ca="1">I10/I11</f>
        <v>4.1189589541671644E-3</v>
      </c>
    </row>
    <row r="13" spans="2:9" x14ac:dyDescent="0.25">
      <c r="B13" s="25"/>
      <c r="C13" s="55"/>
      <c r="D13" s="55"/>
      <c r="E13" s="55"/>
      <c r="F13" s="55"/>
      <c r="G13" s="55"/>
      <c r="H13" s="55"/>
      <c r="I13" s="43"/>
    </row>
    <row r="14" spans="2:9" x14ac:dyDescent="0.25">
      <c r="B14" s="21" t="s">
        <v>136</v>
      </c>
      <c r="C14" s="61"/>
      <c r="D14" s="61"/>
      <c r="E14" s="61"/>
      <c r="F14" s="61"/>
      <c r="G14" s="61"/>
      <c r="H14" s="61"/>
      <c r="I14" s="61"/>
    </row>
    <row r="15" spans="2:9" x14ac:dyDescent="0.25">
      <c r="B15" s="148" t="s">
        <v>1</v>
      </c>
      <c r="C15" s="225">
        <f t="shared" ref="C15:I15" ca="1" si="5">C9</f>
        <v>46.969495847636779</v>
      </c>
      <c r="D15" s="225">
        <f t="shared" ca="1" si="5"/>
        <v>-41.8680975492478</v>
      </c>
      <c r="E15" s="225">
        <f t="shared" ca="1" si="5"/>
        <v>687.3618277279453</v>
      </c>
      <c r="F15" s="225">
        <f t="shared" ca="1" si="5"/>
        <v>-359.78699591512975</v>
      </c>
      <c r="G15" s="225">
        <f t="shared" ca="1" si="5"/>
        <v>-1133.3177617451167</v>
      </c>
      <c r="H15" s="225">
        <f ca="1">H9</f>
        <v>-295.75804893534752</v>
      </c>
      <c r="I15" s="225">
        <f t="shared" ca="1" si="5"/>
        <v>-321.00022724169116</v>
      </c>
    </row>
    <row r="16" spans="2:9" x14ac:dyDescent="0.25">
      <c r="B16" s="148" t="s">
        <v>2</v>
      </c>
      <c r="C16" s="240">
        <f t="shared" ref="C16:I16" ca="1" si="6">C15-C7</f>
        <v>-728.87245817893745</v>
      </c>
      <c r="D16" s="240">
        <f t="shared" ca="1" si="6"/>
        <v>-374.85110724243287</v>
      </c>
      <c r="E16" s="240">
        <f t="shared" ca="1" si="6"/>
        <v>60.842851300541611</v>
      </c>
      <c r="F16" s="240">
        <f t="shared" ca="1" si="6"/>
        <v>-666.2955506835998</v>
      </c>
      <c r="G16" s="240">
        <f t="shared" ca="1" si="6"/>
        <v>-1958.9084616958485</v>
      </c>
      <c r="H16" s="240">
        <f ca="1">H15-H7</f>
        <v>-392.86258775795392</v>
      </c>
      <c r="I16" s="240">
        <f t="shared" ca="1" si="6"/>
        <v>-786.64716098821691</v>
      </c>
    </row>
    <row r="17" spans="2:10" x14ac:dyDescent="0.25">
      <c r="B17" s="148" t="s">
        <v>91</v>
      </c>
      <c r="C17" s="311">
        <v>0.13100000000000001</v>
      </c>
      <c r="D17" s="311">
        <v>0.13100000000000001</v>
      </c>
      <c r="E17" s="311">
        <v>0.13100000000000001</v>
      </c>
      <c r="F17" s="311">
        <v>0.1002</v>
      </c>
      <c r="G17" s="311">
        <v>0.1002</v>
      </c>
      <c r="H17" s="311">
        <v>0.1002</v>
      </c>
      <c r="I17" s="311">
        <v>0.1002</v>
      </c>
    </row>
    <row r="18" spans="2:10" x14ac:dyDescent="0.25">
      <c r="B18" s="148" t="s">
        <v>65</v>
      </c>
      <c r="C18" s="225">
        <f ca="1">C11*C17</f>
        <v>-14246.032579405619</v>
      </c>
      <c r="D18" s="225">
        <f t="shared" ref="D18:F18" ca="1" si="7">D11*D17</f>
        <v>-22886.937611516681</v>
      </c>
      <c r="E18" s="225">
        <f t="shared" ca="1" si="7"/>
        <v>-31234.849556497069</v>
      </c>
      <c r="F18" s="225">
        <f t="shared" ca="1" si="7"/>
        <v>-25831.680362373103</v>
      </c>
      <c r="G18" s="225">
        <f ca="1">G11*G17</f>
        <v>-29719.497771812792</v>
      </c>
      <c r="H18" s="225">
        <f ca="1">H11*H17</f>
        <v>-24062.413098850138</v>
      </c>
      <c r="I18" s="225">
        <f ca="1">I11*I17</f>
        <v>-19136.399854452255</v>
      </c>
      <c r="J18" s="166"/>
    </row>
    <row r="19" spans="2:10" s="141" customFormat="1" x14ac:dyDescent="0.25">
      <c r="B19" s="161" t="s">
        <v>66</v>
      </c>
      <c r="C19" s="225">
        <f ca="1">C16-C18</f>
        <v>13517.160121226681</v>
      </c>
      <c r="D19" s="225">
        <f t="shared" ref="D19:G19" ca="1" si="8">D16-D18</f>
        <v>22512.086504274248</v>
      </c>
      <c r="E19" s="225">
        <f t="shared" ca="1" si="8"/>
        <v>31295.692407797611</v>
      </c>
      <c r="F19" s="225">
        <f t="shared" ca="1" si="8"/>
        <v>25165.384811689502</v>
      </c>
      <c r="G19" s="225">
        <f t="shared" ca="1" si="8"/>
        <v>27760.589310116942</v>
      </c>
      <c r="H19" s="225">
        <f ca="1">H16-H18</f>
        <v>23669.550511092184</v>
      </c>
      <c r="I19" s="225">
        <f ca="1">I16-I18</f>
        <v>18349.752693464037</v>
      </c>
    </row>
    <row r="20" spans="2:10" x14ac:dyDescent="0.25">
      <c r="B20" s="193" t="s">
        <v>169</v>
      </c>
      <c r="C20" s="241">
        <f>C17/$C$17</f>
        <v>1</v>
      </c>
      <c r="D20" s="241">
        <f t="shared" ref="D20:G20" si="9">D17/$C$17</f>
        <v>1</v>
      </c>
      <c r="E20" s="241">
        <f t="shared" si="9"/>
        <v>1</v>
      </c>
      <c r="F20" s="241">
        <f t="shared" si="9"/>
        <v>0.764885496183206</v>
      </c>
      <c r="G20" s="241">
        <f t="shared" si="9"/>
        <v>0.764885496183206</v>
      </c>
      <c r="H20" s="241">
        <f>H17/$C$17</f>
        <v>0.764885496183206</v>
      </c>
      <c r="I20" s="241">
        <f>I17/$C$17</f>
        <v>0.764885496183206</v>
      </c>
    </row>
  </sheetData>
  <phoneticPr fontId="7" type="noConversion"/>
  <pageMargins left="0.75" right="0.75" top="1" bottom="1" header="0.4921259845" footer="0.492125984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7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9" sqref="E29"/>
    </sheetView>
  </sheetViews>
  <sheetFormatPr defaultColWidth="11.44140625" defaultRowHeight="13.2" x14ac:dyDescent="0.25"/>
  <cols>
    <col min="1" max="1" width="5.5546875" style="23" customWidth="1"/>
    <col min="2" max="2" width="55.88671875" style="23" customWidth="1"/>
    <col min="3" max="3" width="14.109375" style="23" bestFit="1" customWidth="1"/>
    <col min="4" max="4" width="15" style="23" bestFit="1" customWidth="1"/>
    <col min="5" max="5" width="13.44140625" style="23" bestFit="1" customWidth="1"/>
    <col min="6" max="6" width="13.5546875" style="23" bestFit="1" customWidth="1"/>
    <col min="7" max="7" width="15.6640625" style="23" bestFit="1" customWidth="1"/>
    <col min="8" max="8" width="17.6640625" style="23" bestFit="1" customWidth="1"/>
    <col min="9" max="9" width="19.33203125" style="23" bestFit="1" customWidth="1"/>
    <col min="10" max="16384" width="11.44140625" style="23"/>
  </cols>
  <sheetData>
    <row r="1" spans="2:9" ht="27" customHeight="1" x14ac:dyDescent="0.25">
      <c r="B1" s="87" t="s">
        <v>7</v>
      </c>
      <c r="C1" s="7"/>
      <c r="D1" s="7"/>
      <c r="E1" s="7"/>
      <c r="F1" s="7"/>
      <c r="G1" s="7"/>
      <c r="H1" s="7"/>
      <c r="I1" s="7"/>
    </row>
    <row r="2" spans="2:9" x14ac:dyDescent="0.25">
      <c r="B2" s="62"/>
      <c r="C2" s="32"/>
      <c r="D2" s="32"/>
      <c r="E2" s="32"/>
      <c r="F2" s="32"/>
      <c r="G2" s="32"/>
      <c r="H2" s="32"/>
      <c r="I2" s="32"/>
    </row>
    <row r="3" spans="2:9" x14ac:dyDescent="0.25">
      <c r="B3" s="52" t="s">
        <v>93</v>
      </c>
      <c r="C3" s="22">
        <v>2013</v>
      </c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</row>
    <row r="4" spans="2:9" x14ac:dyDescent="0.25">
      <c r="B4" s="50" t="s">
        <v>62</v>
      </c>
      <c r="C4" s="242">
        <f ca="1">'Costul Capitalului-dummy data'!C5</f>
        <v>119.98611171556949</v>
      </c>
      <c r="D4" s="243">
        <f ca="1">'Costul Capitalului-dummy data'!D5</f>
        <v>808.97846101726907</v>
      </c>
      <c r="E4" s="242">
        <f ca="1">'Costul Capitalului-dummy data'!E5</f>
        <v>183.82059535500139</v>
      </c>
      <c r="F4" s="243">
        <f ca="1">'Costul Capitalului-dummy data'!F5</f>
        <v>256.93357947893014</v>
      </c>
      <c r="G4" s="242">
        <f ca="1">'Costul Capitalului-dummy data'!G5</f>
        <v>454.99586215987051</v>
      </c>
      <c r="H4" s="243">
        <f ca="1">'Costul Capitalului-dummy data'!H5</f>
        <v>269.53010990418846</v>
      </c>
      <c r="I4" s="244">
        <f ca="1">'Costul Capitalului-dummy data'!I5</f>
        <v>356.86689269148928</v>
      </c>
    </row>
    <row r="5" spans="2:9" x14ac:dyDescent="0.25">
      <c r="B5" s="18" t="s">
        <v>23</v>
      </c>
      <c r="C5" s="245">
        <f ca="1">'Costul Capitalului-dummy data'!C6</f>
        <v>256.81300753957447</v>
      </c>
      <c r="D5" s="246">
        <f ca="1">'Costul Capitalului-dummy data'!D6</f>
        <v>19.756235232480712</v>
      </c>
      <c r="E5" s="245">
        <f ca="1">'Costul Capitalului-dummy data'!E6</f>
        <v>32.232387025999287</v>
      </c>
      <c r="F5" s="246">
        <f ca="1">'Costul Capitalului-dummy data'!F6</f>
        <v>408.38924420561386</v>
      </c>
      <c r="G5" s="245">
        <f ca="1">'Costul Capitalului-dummy data'!G6</f>
        <v>761.74500313868384</v>
      </c>
      <c r="H5" s="246">
        <f ca="1">'Costul Capitalului-dummy data'!H6</f>
        <v>484.3362077881236</v>
      </c>
      <c r="I5" s="247">
        <f ca="1">'Costul Capitalului-dummy data'!I6</f>
        <v>179.38350381896728</v>
      </c>
    </row>
    <row r="6" spans="2:9" x14ac:dyDescent="0.25">
      <c r="B6" s="144" t="s">
        <v>171</v>
      </c>
      <c r="C6" s="245">
        <f ca="1">'Costul Capitalului-dummy data'!C7+'Costul Capitalului-dummy data'!C18</f>
        <v>-13470.190625379044</v>
      </c>
      <c r="D6" s="245">
        <f ca="1">'Costul Capitalului-dummy data'!D7+'Costul Capitalului-dummy data'!D18</f>
        <v>-22553.954601823498</v>
      </c>
      <c r="E6" s="245">
        <f ca="1">'Costul Capitalului-dummy data'!E7+'Costul Capitalului-dummy data'!E18</f>
        <v>-30608.330580069665</v>
      </c>
      <c r="F6" s="245">
        <f ca="1">'Costul Capitalului-dummy data'!F7+'Costul Capitalului-dummy data'!F18</f>
        <v>-25525.171807604635</v>
      </c>
      <c r="G6" s="245">
        <f ca="1">'Costul Capitalului-dummy data'!G7+'Costul Capitalului-dummy data'!G18</f>
        <v>-28893.907071862061</v>
      </c>
      <c r="H6" s="245">
        <f ca="1">'Costul Capitalului-dummy data'!H7+'Costul Capitalului-dummy data'!H18</f>
        <v>-23965.308560027534</v>
      </c>
      <c r="I6" s="245">
        <f ca="1">'Costul Capitalului-dummy data'!I7+'Costul Capitalului-dummy data'!I18</f>
        <v>-18670.752920705731</v>
      </c>
    </row>
    <row r="7" spans="2:9" x14ac:dyDescent="0.25">
      <c r="B7" s="177" t="s">
        <v>75</v>
      </c>
      <c r="C7" s="245">
        <f t="shared" ref="C7:I7" ca="1" si="0">SUM(C4:C6)</f>
        <v>-13093.3915061239</v>
      </c>
      <c r="D7" s="246">
        <f t="shared" ca="1" si="0"/>
        <v>-21725.219905573747</v>
      </c>
      <c r="E7" s="245">
        <f t="shared" ca="1" si="0"/>
        <v>-30392.277597688666</v>
      </c>
      <c r="F7" s="246">
        <f t="shared" ca="1" si="0"/>
        <v>-24859.848983920092</v>
      </c>
      <c r="G7" s="245">
        <f t="shared" ca="1" si="0"/>
        <v>-27677.166206563506</v>
      </c>
      <c r="H7" s="246">
        <f ca="1">SUM(H4:H6)</f>
        <v>-23211.442242335223</v>
      </c>
      <c r="I7" s="247">
        <f t="shared" ca="1" si="0"/>
        <v>-18134.502524195275</v>
      </c>
    </row>
    <row r="8" spans="2:9" x14ac:dyDescent="0.25">
      <c r="B8" s="89" t="s">
        <v>138</v>
      </c>
      <c r="C8" s="248">
        <f ca="1">'Costul Capitalului-dummy data'!C4-C7</f>
        <v>13517.160121226681</v>
      </c>
      <c r="D8" s="249">
        <f ca="1">'Costul Capitalului-dummy data'!D4-D7</f>
        <v>22512.086504274248</v>
      </c>
      <c r="E8" s="248">
        <f ca="1">'Costul Capitalului-dummy data'!E4-E7</f>
        <v>31295.692407797611</v>
      </c>
      <c r="F8" s="249">
        <f ca="1">'Costul Capitalului-dummy data'!F4-F7</f>
        <v>25165.384811689506</v>
      </c>
      <c r="G8" s="248">
        <f ca="1">'Costul Capitalului-dummy data'!G4-G7</f>
        <v>27760.589310116946</v>
      </c>
      <c r="H8" s="249">
        <f ca="1">'Costul Capitalului-dummy data'!H4-H7</f>
        <v>23669.550511092188</v>
      </c>
      <c r="I8" s="250">
        <f ca="1">'Costul Capitalului-dummy data'!I4-I7</f>
        <v>18349.752693464041</v>
      </c>
    </row>
    <row r="9" spans="2:9" x14ac:dyDescent="0.25">
      <c r="B9" s="63"/>
      <c r="C9" s="251">
        <f ca="1">C8-'Costul Capitalului-dummy data'!C19</f>
        <v>0</v>
      </c>
      <c r="D9" s="251">
        <f ca="1">D8-'Costul Capitalului-dummy data'!D19</f>
        <v>0</v>
      </c>
      <c r="E9" s="251">
        <f ca="1">E8-'Costul Capitalului-dummy data'!E19</f>
        <v>0</v>
      </c>
      <c r="F9" s="251">
        <f ca="1">F8-'Costul Capitalului-dummy data'!F19</f>
        <v>0</v>
      </c>
      <c r="G9" s="251">
        <f ca="1">G8-'Costul Capitalului-dummy data'!G19</f>
        <v>0</v>
      </c>
      <c r="H9" s="251">
        <f ca="1">H8-'Costul Capitalului-dummy data'!H19</f>
        <v>0</v>
      </c>
      <c r="I9" s="251">
        <f ca="1">I8-'Costul Capitalului-dummy data'!I19</f>
        <v>0</v>
      </c>
    </row>
    <row r="10" spans="2:9" x14ac:dyDescent="0.25">
      <c r="B10" s="18" t="s">
        <v>94</v>
      </c>
      <c r="C10" s="252">
        <f ca="1">C4/C7</f>
        <v>-9.163868021471051E-3</v>
      </c>
      <c r="D10" s="252">
        <f t="shared" ref="D10:I10" ca="1" si="1">D4/D7</f>
        <v>-3.72368364754605E-2</v>
      </c>
      <c r="E10" s="252">
        <f t="shared" ca="1" si="1"/>
        <v>-6.0482665296851907E-3</v>
      </c>
      <c r="F10" s="252">
        <f t="shared" ca="1" si="1"/>
        <v>-1.0335283196817509E-2</v>
      </c>
      <c r="G10" s="252">
        <f t="shared" ca="1" si="1"/>
        <v>-1.6439394798011164E-2</v>
      </c>
      <c r="H10" s="252">
        <f t="shared" ca="1" si="1"/>
        <v>-1.1611950136066683E-2</v>
      </c>
      <c r="I10" s="253">
        <f t="shared" ca="1" si="1"/>
        <v>-1.9678890678989022E-2</v>
      </c>
    </row>
    <row r="11" spans="2:9" x14ac:dyDescent="0.25">
      <c r="B11" s="3" t="s">
        <v>95</v>
      </c>
      <c r="C11" s="254">
        <f ca="1">C5/C7</f>
        <v>-1.9613940927334272E-2</v>
      </c>
      <c r="D11" s="254">
        <f t="shared" ref="D11:I11" ca="1" si="2">D5/D7</f>
        <v>-9.0936871149516511E-4</v>
      </c>
      <c r="E11" s="254">
        <f t="shared" ca="1" si="2"/>
        <v>-1.0605452955079141E-3</v>
      </c>
      <c r="F11" s="254">
        <f t="shared" ca="1" si="2"/>
        <v>-1.64276639198319E-2</v>
      </c>
      <c r="G11" s="254">
        <f t="shared" ca="1" si="2"/>
        <v>-2.7522507089545883E-2</v>
      </c>
      <c r="H11" s="254">
        <f t="shared" ca="1" si="2"/>
        <v>-2.0866269434337236E-2</v>
      </c>
      <c r="I11" s="255">
        <f t="shared" ca="1" si="2"/>
        <v>-9.8918348369155217E-3</v>
      </c>
    </row>
    <row r="12" spans="2:9" x14ac:dyDescent="0.25">
      <c r="B12" s="24" t="s">
        <v>96</v>
      </c>
      <c r="C12" s="256">
        <f ca="1">C6/C7</f>
        <v>1.0287778089488053</v>
      </c>
      <c r="D12" s="256">
        <f t="shared" ref="D12:I12" ca="1" si="3">D6/D7</f>
        <v>1.0381462051869557</v>
      </c>
      <c r="E12" s="256">
        <f t="shared" ca="1" si="3"/>
        <v>1.007108811825193</v>
      </c>
      <c r="F12" s="256">
        <f t="shared" ca="1" si="3"/>
        <v>1.0267629471166493</v>
      </c>
      <c r="G12" s="256">
        <f t="shared" ca="1" si="3"/>
        <v>1.043961901887557</v>
      </c>
      <c r="H12" s="256">
        <f t="shared" ca="1" si="3"/>
        <v>1.0324782195704039</v>
      </c>
      <c r="I12" s="257">
        <f t="shared" ca="1" si="3"/>
        <v>1.0295707255159046</v>
      </c>
    </row>
    <row r="13" spans="2:9" x14ac:dyDescent="0.25">
      <c r="B13" s="18" t="s">
        <v>80</v>
      </c>
      <c r="C13" s="97">
        <f>'Muncă-dummy data'!C11</f>
        <v>1</v>
      </c>
      <c r="D13" s="97">
        <f>'Muncă-dummy data'!D11</f>
        <v>0.87438508972493589</v>
      </c>
      <c r="E13" s="97">
        <f>'Muncă-dummy data'!E11</f>
        <v>0.85962724312339778</v>
      </c>
      <c r="F13" s="97">
        <f>'Muncă-dummy data'!F11</f>
        <v>0.83974225732695906</v>
      </c>
      <c r="G13" s="97">
        <f>'Muncă-dummy data'!G11</f>
        <v>0.81102334926903619</v>
      </c>
      <c r="H13" s="97">
        <f>'Muncă-dummy data'!H11</f>
        <v>0.81078084944225037</v>
      </c>
      <c r="I13" s="98">
        <f>'Muncă-dummy data'!I11</f>
        <v>0.80364442596826713</v>
      </c>
    </row>
    <row r="14" spans="2:9" x14ac:dyDescent="0.25">
      <c r="B14" s="4" t="s">
        <v>97</v>
      </c>
      <c r="C14" s="99">
        <f ca="1">'Materiale-dummy data'!C76</f>
        <v>1</v>
      </c>
      <c r="D14" s="99">
        <f ca="1">'Materiale-dummy data'!D76</f>
        <v>0.95271455938200789</v>
      </c>
      <c r="E14" s="99">
        <f ca="1">'Materiale-dummy data'!E76</f>
        <v>0.97395776678341262</v>
      </c>
      <c r="F14" s="99">
        <f ca="1">'Materiale-dummy data'!F76</f>
        <v>0.64926565643160095</v>
      </c>
      <c r="G14" s="99">
        <f ca="1">'Materiale-dummy data'!G76</f>
        <v>0.94037329440773221</v>
      </c>
      <c r="H14" s="99">
        <f ca="1">'Materiale-dummy data'!H76</f>
        <v>0.68419149391081791</v>
      </c>
      <c r="I14" s="100">
        <f ca="1">'Materiale-dummy data'!I76</f>
        <v>0.71748062536413282</v>
      </c>
    </row>
    <row r="15" spans="2:9" x14ac:dyDescent="0.25">
      <c r="B15" s="4" t="s">
        <v>144</v>
      </c>
      <c r="C15" s="101">
        <f ca="1">'Capital angajat-dummy data'!C36</f>
        <v>1</v>
      </c>
      <c r="D15" s="101">
        <f ca="1">'Capital angajat-dummy data'!D36</f>
        <v>0.94460589543316242</v>
      </c>
      <c r="E15" s="101">
        <f ca="1">'Capital angajat-dummy data'!E36</f>
        <v>0.88614747990945408</v>
      </c>
      <c r="F15" s="101">
        <f ca="1">'Capital angajat-dummy data'!F36</f>
        <v>0.8468781083105571</v>
      </c>
      <c r="G15" s="101">
        <f ca="1">'Capital angajat-dummy data'!G36</f>
        <v>1.2730681543883173</v>
      </c>
      <c r="H15" s="101">
        <f ca="1">'Capital angajat-dummy data'!H36</f>
        <v>1.2537864917027863</v>
      </c>
      <c r="I15" s="101">
        <f ca="1">'Capital angajat-dummy data'!I36</f>
        <v>0.8376809134496519</v>
      </c>
    </row>
    <row r="16" spans="2:9" x14ac:dyDescent="0.25">
      <c r="B16" s="2" t="s">
        <v>98</v>
      </c>
      <c r="C16" s="102">
        <v>1</v>
      </c>
      <c r="D16" s="102">
        <f t="shared" ref="D16:I16" ca="1" si="4">SUMPRODUCT(D13:D15,C10:C12)/SUMPRODUCT(C13:C15,C10:C12)</f>
        <v>0.94509034677334169</v>
      </c>
      <c r="E16" s="102">
        <f t="shared" ca="1" si="4"/>
        <v>0.93648931744658259</v>
      </c>
      <c r="F16" s="102">
        <f t="shared" ca="1" si="4"/>
        <v>0.95589792475718227</v>
      </c>
      <c r="G16" s="102">
        <f t="shared" ca="1" si="4"/>
        <v>1.5094232879822753</v>
      </c>
      <c r="H16" s="102">
        <f t="shared" ca="1" si="4"/>
        <v>0.98986326438474392</v>
      </c>
      <c r="I16" s="103">
        <f t="shared" ca="1" si="4"/>
        <v>0.66145239936949962</v>
      </c>
    </row>
    <row r="17" spans="1:9" x14ac:dyDescent="0.25">
      <c r="B17" s="3" t="s">
        <v>99</v>
      </c>
      <c r="C17" s="104">
        <v>1</v>
      </c>
      <c r="D17" s="104">
        <f t="shared" ref="D17:I17" ca="1" si="5">SUMPRODUCT(D13:D15,D10:D12)/SUMPRODUCT(C13:C15,D10:D12)</f>
        <v>0.94721332232720756</v>
      </c>
      <c r="E17" s="104">
        <f t="shared" ca="1" si="5"/>
        <v>0.93777154947455499</v>
      </c>
      <c r="F17" s="104">
        <f t="shared" ca="1" si="5"/>
        <v>0.960698633888172</v>
      </c>
      <c r="G17" s="104">
        <f t="shared" ca="1" si="5"/>
        <v>1.5131026848330353</v>
      </c>
      <c r="H17" s="104">
        <f t="shared" ca="1" si="5"/>
        <v>0.98867294231641878</v>
      </c>
      <c r="I17" s="105">
        <f t="shared" ca="1" si="5"/>
        <v>0.66202515636098103</v>
      </c>
    </row>
    <row r="18" spans="1:9" x14ac:dyDescent="0.25">
      <c r="B18" s="3" t="s">
        <v>100</v>
      </c>
      <c r="C18" s="104">
        <v>1</v>
      </c>
      <c r="D18" s="104">
        <f t="shared" ref="D18:I18" ca="1" si="6">(D16*D17)^0.5</f>
        <v>0.94615123910849985</v>
      </c>
      <c r="E18" s="104">
        <f t="shared" ca="1" si="6"/>
        <v>0.93713021415823006</v>
      </c>
      <c r="F18" s="104">
        <f t="shared" ca="1" si="6"/>
        <v>0.958295273102588</v>
      </c>
      <c r="G18" s="104">
        <f t="shared" ca="1" si="6"/>
        <v>1.5112618666516695</v>
      </c>
      <c r="H18" s="104">
        <f t="shared" ca="1" si="6"/>
        <v>0.98926792432090915</v>
      </c>
      <c r="I18" s="105">
        <f t="shared" ca="1" si="6"/>
        <v>0.66173871589770161</v>
      </c>
    </row>
    <row r="19" spans="1:9" x14ac:dyDescent="0.25">
      <c r="B19" s="4" t="s">
        <v>139</v>
      </c>
      <c r="C19" s="106">
        <v>1</v>
      </c>
      <c r="D19" s="106">
        <f t="shared" ref="D19:I19" ca="1" si="7">C19*D18</f>
        <v>0.94615123910849985</v>
      </c>
      <c r="E19" s="106">
        <f ca="1">D19*E18</f>
        <v>0.88666691333182324</v>
      </c>
      <c r="F19" s="106">
        <f t="shared" ca="1" si="7"/>
        <v>0.84968871186234829</v>
      </c>
      <c r="G19" s="106">
        <f t="shared" ca="1" si="7"/>
        <v>1.2841021487619451</v>
      </c>
      <c r="H19" s="106">
        <f t="shared" ca="1" si="7"/>
        <v>1.2703210673217487</v>
      </c>
      <c r="I19" s="107">
        <f t="shared" ca="1" si="7"/>
        <v>0.84062063186729175</v>
      </c>
    </row>
    <row r="20" spans="1:9" x14ac:dyDescent="0.25">
      <c r="B20" s="146" t="s">
        <v>102</v>
      </c>
      <c r="C20" s="91"/>
      <c r="D20" s="279">
        <f t="shared" ref="D20:I20" ca="1" si="8">LN(D19/C19)</f>
        <v>-5.5352850500741728E-2</v>
      </c>
      <c r="E20" s="279">
        <f ca="1">LN(E19/D19)</f>
        <v>-6.4933037180013392E-2</v>
      </c>
      <c r="F20" s="279">
        <f t="shared" ca="1" si="8"/>
        <v>-4.2599330230844792E-2</v>
      </c>
      <c r="G20" s="279">
        <f t="shared" ca="1" si="8"/>
        <v>0.41294497512557837</v>
      </c>
      <c r="H20" s="279">
        <f t="shared" ca="1" si="8"/>
        <v>-1.0790079779504748E-2</v>
      </c>
      <c r="I20" s="280">
        <f t="shared" ca="1" si="8"/>
        <v>-0.41288448993160526</v>
      </c>
    </row>
    <row r="21" spans="1:9" x14ac:dyDescent="0.25">
      <c r="B21" s="9"/>
      <c r="C21" s="67"/>
      <c r="D21" s="67"/>
      <c r="E21" s="67"/>
      <c r="F21" s="67"/>
      <c r="G21" s="67"/>
      <c r="H21" s="67"/>
      <c r="I21" s="67"/>
    </row>
    <row r="22" spans="1:9" x14ac:dyDescent="0.25">
      <c r="B22" s="78" t="s">
        <v>140</v>
      </c>
      <c r="C22" s="68"/>
      <c r="D22" s="69"/>
      <c r="E22" s="69"/>
      <c r="F22" s="69"/>
      <c r="G22" s="69"/>
      <c r="H22" s="69"/>
      <c r="I22" s="69"/>
    </row>
    <row r="23" spans="1:9" x14ac:dyDescent="0.25">
      <c r="B23" s="158" t="s">
        <v>104</v>
      </c>
      <c r="C23" s="159">
        <v>2.5999999999999999E-2</v>
      </c>
      <c r="D23" s="159">
        <v>2.5999999999999999E-2</v>
      </c>
      <c r="E23" s="159">
        <v>2.5999999999999999E-2</v>
      </c>
      <c r="F23" s="159">
        <v>2.5999999999999999E-2</v>
      </c>
      <c r="G23" s="159">
        <v>3.5999999999999997E-2</v>
      </c>
      <c r="H23" s="159">
        <v>3.2000000000000001E-2</v>
      </c>
      <c r="I23" s="160">
        <v>2.9000000000000001E-2</v>
      </c>
    </row>
    <row r="24" spans="1:9" x14ac:dyDescent="0.25">
      <c r="B24" s="16" t="s">
        <v>102</v>
      </c>
      <c r="C24" s="92"/>
      <c r="D24" s="281">
        <f ca="1">D20</f>
        <v>-5.5352850500741728E-2</v>
      </c>
      <c r="E24" s="281">
        <f ca="1">E20</f>
        <v>-6.4933037180013392E-2</v>
      </c>
      <c r="F24" s="281">
        <f t="shared" ref="F24:I24" ca="1" si="9">F20</f>
        <v>-4.2599330230844792E-2</v>
      </c>
      <c r="G24" s="281">
        <f t="shared" ca="1" si="9"/>
        <v>0.41294497512557837</v>
      </c>
      <c r="H24" s="281">
        <f t="shared" ca="1" si="9"/>
        <v>-1.0790079779504748E-2</v>
      </c>
      <c r="I24" s="282">
        <f t="shared" ca="1" si="9"/>
        <v>-0.41288448993160526</v>
      </c>
    </row>
    <row r="25" spans="1:9" x14ac:dyDescent="0.25">
      <c r="B25" s="16" t="s">
        <v>101</v>
      </c>
      <c r="C25" s="70"/>
      <c r="D25" s="281">
        <f>'outputuri-dummy data'!D65</f>
        <v>6.5926426684930753E-3</v>
      </c>
      <c r="E25" s="281">
        <f>'outputuri-dummy data'!E65</f>
        <v>0.62334051489040421</v>
      </c>
      <c r="F25" s="281">
        <f>'outputuri-dummy data'!F65</f>
        <v>-0.57569602744092319</v>
      </c>
      <c r="G25" s="281">
        <f>'outputuri-dummy data'!G65</f>
        <v>-0.25231224804774205</v>
      </c>
      <c r="H25" s="281">
        <f>'outputuri-dummy data'!H65</f>
        <v>0.44198604313542489</v>
      </c>
      <c r="I25" s="282">
        <f>'outputuri-dummy data'!I65</f>
        <v>-2.619498430495168E-2</v>
      </c>
    </row>
    <row r="26" spans="1:9" x14ac:dyDescent="0.25">
      <c r="B26" s="56" t="s">
        <v>103</v>
      </c>
      <c r="C26" s="90">
        <f>C25-C24</f>
        <v>0</v>
      </c>
      <c r="D26" s="281">
        <f ca="1">D25-D24</f>
        <v>6.1945493169234804E-2</v>
      </c>
      <c r="E26" s="281">
        <f ca="1">E25-E24</f>
        <v>0.68827355207041763</v>
      </c>
      <c r="F26" s="281">
        <f ca="1">F25-F24</f>
        <v>-0.53309669721007835</v>
      </c>
      <c r="G26" s="281">
        <f t="shared" ref="G26:I26" ca="1" si="10">G25-G24</f>
        <v>-0.66525722317332048</v>
      </c>
      <c r="H26" s="281">
        <f t="shared" ca="1" si="10"/>
        <v>0.45277612291492964</v>
      </c>
      <c r="I26" s="282">
        <f t="shared" ca="1" si="10"/>
        <v>0.38668950562665361</v>
      </c>
    </row>
    <row r="27" spans="1:9" ht="14.4" thickBot="1" x14ac:dyDescent="0.3">
      <c r="B27" s="204" t="s">
        <v>3</v>
      </c>
      <c r="C27" s="93"/>
      <c r="D27" s="313">
        <v>8.8618455522052289E-2</v>
      </c>
      <c r="E27" s="313">
        <v>-9.5846537857624425E-2</v>
      </c>
      <c r="F27" s="313">
        <v>2.1941082063830105E-2</v>
      </c>
      <c r="G27" s="313">
        <v>0.04</v>
      </c>
      <c r="H27" s="313">
        <v>-3.2341575369143852E-2</v>
      </c>
      <c r="I27" s="314">
        <v>5.9491003500498942E-3</v>
      </c>
    </row>
    <row r="28" spans="1:9" ht="14.4" thickBot="1" x14ac:dyDescent="0.3">
      <c r="B28" s="55"/>
      <c r="C28" s="71"/>
      <c r="D28" s="71"/>
      <c r="E28" s="71"/>
      <c r="F28" s="71"/>
      <c r="G28" s="71"/>
      <c r="H28" s="71"/>
      <c r="I28" s="205">
        <v>4.720087451527335E-3</v>
      </c>
    </row>
    <row r="29" spans="1:9" x14ac:dyDescent="0.25">
      <c r="B29"/>
      <c r="C29" s="58"/>
      <c r="D29" s="58"/>
      <c r="E29" s="58"/>
      <c r="F29" s="58"/>
      <c r="G29" s="58"/>
      <c r="H29" s="58"/>
      <c r="I29" s="58"/>
    </row>
    <row r="30" spans="1:9" x14ac:dyDescent="0.25">
      <c r="B30" s="52" t="s">
        <v>141</v>
      </c>
      <c r="C30" s="68"/>
      <c r="D30" s="69"/>
      <c r="E30" s="69"/>
      <c r="F30" s="69"/>
      <c r="G30" s="69"/>
      <c r="H30" s="69"/>
      <c r="I30" s="69"/>
    </row>
    <row r="31" spans="1:9" x14ac:dyDescent="0.25">
      <c r="A31" s="124"/>
      <c r="B31" s="125" t="s">
        <v>127</v>
      </c>
      <c r="C31" s="126">
        <f>'Indicii prețurilor'!C22/100-1</f>
        <v>1.9500000000000073E-2</v>
      </c>
      <c r="D31" s="126">
        <f>'Indicii prețurilor'!D22/100-1</f>
        <v>5.7000000000000384E-3</v>
      </c>
      <c r="E31" s="126">
        <f>'Indicii prețurilor'!E22/100-1</f>
        <v>-1.1200000000000099E-2</v>
      </c>
      <c r="F31" s="126">
        <f>'Indicii prețurilor'!F22/100-1</f>
        <v>2.9999999999996696E-4</v>
      </c>
      <c r="G31" s="126">
        <f>'Indicii prețurilor'!G22/100-1</f>
        <v>3.3800000000000052E-2</v>
      </c>
      <c r="H31" s="126">
        <f>'Indicii prețurilor'!H22/100-1</f>
        <v>8.010000000000006E-2</v>
      </c>
      <c r="I31" s="126">
        <f>'Indicii prețurilor'!I22/100-1</f>
        <v>0.12230000000000008</v>
      </c>
    </row>
    <row r="32" spans="1:9" x14ac:dyDescent="0.25">
      <c r="A32" s="127"/>
      <c r="B32" s="18" t="s">
        <v>94</v>
      </c>
      <c r="C32" s="258">
        <f ca="1">C10</f>
        <v>-9.163868021471051E-3</v>
      </c>
      <c r="D32" s="258">
        <f t="shared" ref="D32:I32" ca="1" si="11">D10</f>
        <v>-3.72368364754605E-2</v>
      </c>
      <c r="E32" s="258">
        <f t="shared" ca="1" si="11"/>
        <v>-6.0482665296851907E-3</v>
      </c>
      <c r="F32" s="258">
        <f t="shared" ca="1" si="11"/>
        <v>-1.0335283196817509E-2</v>
      </c>
      <c r="G32" s="258">
        <f t="shared" ca="1" si="11"/>
        <v>-1.6439394798011164E-2</v>
      </c>
      <c r="H32" s="258">
        <f t="shared" ca="1" si="11"/>
        <v>-1.1611950136066683E-2</v>
      </c>
      <c r="I32" s="258">
        <f t="shared" ca="1" si="11"/>
        <v>-1.9678890678989022E-2</v>
      </c>
    </row>
    <row r="33" spans="1:9" x14ac:dyDescent="0.25">
      <c r="A33" s="127"/>
      <c r="B33" s="3" t="s">
        <v>95</v>
      </c>
      <c r="C33" s="259">
        <f ca="1">C11</f>
        <v>-1.9613940927334272E-2</v>
      </c>
      <c r="D33" s="259">
        <f t="shared" ref="D33:I34" ca="1" si="12">D11</f>
        <v>-9.0936871149516511E-4</v>
      </c>
      <c r="E33" s="259">
        <f t="shared" ca="1" si="12"/>
        <v>-1.0605452955079141E-3</v>
      </c>
      <c r="F33" s="259">
        <f t="shared" ca="1" si="12"/>
        <v>-1.64276639198319E-2</v>
      </c>
      <c r="G33" s="259">
        <f t="shared" ca="1" si="12"/>
        <v>-2.7522507089545883E-2</v>
      </c>
      <c r="H33" s="259">
        <f t="shared" ca="1" si="12"/>
        <v>-2.0866269434337236E-2</v>
      </c>
      <c r="I33" s="259">
        <f t="shared" ca="1" si="12"/>
        <v>-9.8918348369155217E-3</v>
      </c>
    </row>
    <row r="34" spans="1:9" x14ac:dyDescent="0.25">
      <c r="A34" s="127"/>
      <c r="B34" s="24" t="s">
        <v>96</v>
      </c>
      <c r="C34" s="260">
        <f ca="1">C12</f>
        <v>1.0287778089488053</v>
      </c>
      <c r="D34" s="260">
        <f t="shared" ca="1" si="12"/>
        <v>1.0381462051869557</v>
      </c>
      <c r="E34" s="260">
        <f t="shared" ca="1" si="12"/>
        <v>1.007108811825193</v>
      </c>
      <c r="F34" s="260">
        <f t="shared" ca="1" si="12"/>
        <v>1.0267629471166493</v>
      </c>
      <c r="G34" s="260">
        <f t="shared" ca="1" si="12"/>
        <v>1.043961901887557</v>
      </c>
      <c r="H34" s="260">
        <f t="shared" ca="1" si="12"/>
        <v>1.0324782195704039</v>
      </c>
      <c r="I34" s="260">
        <f t="shared" ca="1" si="12"/>
        <v>1.0295707255159046</v>
      </c>
    </row>
    <row r="35" spans="1:9" x14ac:dyDescent="0.25">
      <c r="A35" s="127"/>
      <c r="B35" s="18" t="s">
        <v>142</v>
      </c>
      <c r="C35" s="108">
        <f ca="1">'Muncă-dummy data'!C9</f>
        <v>1</v>
      </c>
      <c r="D35" s="108">
        <f ca="1">'Muncă-dummy data'!D9</f>
        <v>2.9830998555121981</v>
      </c>
      <c r="E35" s="108">
        <f ca="1">'Muncă-dummy data'!E9</f>
        <v>2.9532565183051922</v>
      </c>
      <c r="F35" s="108">
        <f ca="1">'Muncă-dummy data'!F9</f>
        <v>0.45789518053301786</v>
      </c>
      <c r="G35" s="108">
        <f ca="1">'Muncă-dummy data'!G9</f>
        <v>0.50924008749693672</v>
      </c>
      <c r="H35" s="108">
        <f ca="1">'Muncă-dummy data'!H9</f>
        <v>2.4659315105843786</v>
      </c>
      <c r="I35" s="108">
        <f ca="1">'Muncă-dummy data'!I9</f>
        <v>0.95650351237737907</v>
      </c>
    </row>
    <row r="36" spans="1:9" x14ac:dyDescent="0.25">
      <c r="A36" s="127"/>
      <c r="B36" s="4" t="s">
        <v>143</v>
      </c>
      <c r="C36" s="108">
        <f>'Materiale-dummy data'!C74</f>
        <v>1</v>
      </c>
      <c r="D36" s="108">
        <f ca="1">'Materiale-dummy data'!D74</f>
        <v>1.0111938818914634</v>
      </c>
      <c r="E36" s="108">
        <f ca="1">'Materiale-dummy data'!E74</f>
        <v>1.0182050394891062</v>
      </c>
      <c r="F36" s="108">
        <f ca="1">'Materiale-dummy data'!F74</f>
        <v>1.3409040824308276</v>
      </c>
      <c r="G36" s="108">
        <f ca="1">'Materiale-dummy data'!G74</f>
        <v>1.0174694858043691</v>
      </c>
      <c r="H36" s="108">
        <f ca="1">'Materiale-dummy data'!H74</f>
        <v>1.147940282352675</v>
      </c>
      <c r="I36" s="108">
        <f ca="1">'Materiale-dummy data'!I74</f>
        <v>1.3454199436646639</v>
      </c>
    </row>
    <row r="37" spans="1:9" x14ac:dyDescent="0.25">
      <c r="A37" s="127"/>
      <c r="B37" s="4" t="s">
        <v>92</v>
      </c>
      <c r="C37" s="108">
        <f>'Capital angajat-dummy data'!C33</f>
        <v>1</v>
      </c>
      <c r="D37" s="108">
        <f ca="1">'Capital angajat-dummy data'!D33</f>
        <v>1.0084</v>
      </c>
      <c r="E37" s="108">
        <f ca="1">'Capital angajat-dummy data'!E33</f>
        <v>1.0142487199999999</v>
      </c>
      <c r="F37" s="108">
        <f ca="1">'Capital angajat-dummy data'!F33</f>
        <v>1.0095831758879996</v>
      </c>
      <c r="G37" s="108">
        <f ca="1">'Capital angajat-dummy data'!G33</f>
        <v>1.0381543797656301</v>
      </c>
      <c r="H37" s="108">
        <f ca="1">'Capital angajat-dummy data'!H33</f>
        <v>1.0796805549562554</v>
      </c>
      <c r="I37" s="108">
        <f ca="1">'Capital angajat-dummy data'!I33</f>
        <v>1.1538546090817501</v>
      </c>
    </row>
    <row r="38" spans="1:9" x14ac:dyDescent="0.25">
      <c r="A38" s="127"/>
      <c r="B38" s="18" t="s">
        <v>133</v>
      </c>
      <c r="C38" s="111">
        <v>1</v>
      </c>
      <c r="D38" s="111">
        <f ca="1">SUMPRODUCT(D35:D37,C32:C34)/SUMPRODUCT(C35:C37,C32:C34)</f>
        <v>0.99024931210769107</v>
      </c>
      <c r="E38" s="111">
        <f t="shared" ref="E38:I38" ca="1" si="13">SUMPRODUCT(E35:E37,D32:D34)/SUMPRODUCT(D35:D37,D32:D34)</f>
        <v>1.0076767398813677</v>
      </c>
      <c r="F38" s="111">
        <f t="shared" ca="1" si="13"/>
        <v>1.0100264275228199</v>
      </c>
      <c r="G38" s="111">
        <f t="shared" ca="1" si="13"/>
        <v>1.0337859362851625</v>
      </c>
      <c r="H38" s="111">
        <f t="shared" ca="1" si="13"/>
        <v>1.0072502415003959</v>
      </c>
      <c r="I38" s="111">
        <f t="shared" ca="1" si="13"/>
        <v>1.084723493640869</v>
      </c>
    </row>
    <row r="39" spans="1:9" x14ac:dyDescent="0.25">
      <c r="A39" s="127"/>
      <c r="B39" s="3" t="s">
        <v>145</v>
      </c>
      <c r="C39" s="108">
        <v>1</v>
      </c>
      <c r="D39" s="108">
        <f t="shared" ref="D39:I39" ca="1" si="14">SUMPRODUCT(D35:D37,D32:D34)/SUMPRODUCT(C35:C37,D32:D34)</f>
        <v>0.93486588372340107</v>
      </c>
      <c r="E39" s="108">
        <f t="shared" ca="1" si="14"/>
        <v>1.0060849423475726</v>
      </c>
      <c r="F39" s="108">
        <f t="shared" ca="1" si="14"/>
        <v>1.0157911472023939</v>
      </c>
      <c r="G39" s="108">
        <f t="shared" ca="1" si="14"/>
        <v>1.0375271236305945</v>
      </c>
      <c r="H39" s="108">
        <f t="shared" ca="1" si="14"/>
        <v>1.0166851410339524</v>
      </c>
      <c r="I39" s="108">
        <f t="shared" ca="1" si="14"/>
        <v>1.0989971918069501</v>
      </c>
    </row>
    <row r="40" spans="1:9" x14ac:dyDescent="0.25">
      <c r="A40" s="127"/>
      <c r="B40" s="3" t="s">
        <v>146</v>
      </c>
      <c r="C40" s="108">
        <v>1</v>
      </c>
      <c r="D40" s="108">
        <f ca="1">(D38*D39)^0.5</f>
        <v>0.9621591855145627</v>
      </c>
      <c r="E40" s="108">
        <f t="shared" ref="E40:I40" ca="1" si="15">(E38*E39)^0.5</f>
        <v>1.0068805265514553</v>
      </c>
      <c r="F40" s="108">
        <f t="shared" ca="1" si="15"/>
        <v>1.0129046862948856</v>
      </c>
      <c r="G40" s="108">
        <f t="shared" ca="1" si="15"/>
        <v>1.0356548406316197</v>
      </c>
      <c r="H40" s="108">
        <f t="shared" ca="1" si="15"/>
        <v>1.0119566956329271</v>
      </c>
      <c r="I40" s="108">
        <f t="shared" ca="1" si="15"/>
        <v>1.0918370177816554</v>
      </c>
    </row>
    <row r="41" spans="1:9" x14ac:dyDescent="0.25">
      <c r="A41" s="127"/>
      <c r="B41" s="24" t="s">
        <v>123</v>
      </c>
      <c r="C41" s="112">
        <v>1</v>
      </c>
      <c r="D41" s="112">
        <f ca="1">C41*D40</f>
        <v>0.9621591855145627</v>
      </c>
      <c r="E41" s="112">
        <f t="shared" ref="E41:I41" ca="1" si="16">D41*E40</f>
        <v>0.96877934733722226</v>
      </c>
      <c r="F41" s="112">
        <f t="shared" ca="1" si="16"/>
        <v>0.9812811409035731</v>
      </c>
      <c r="G41" s="112">
        <f t="shared" ca="1" si="16"/>
        <v>1.0162685635973039</v>
      </c>
      <c r="H41" s="112">
        <f t="shared" ca="1" si="16"/>
        <v>1.0284197774935488</v>
      </c>
      <c r="I41" s="112">
        <f t="shared" ca="1" si="16"/>
        <v>1.12286678288623</v>
      </c>
    </row>
    <row r="42" spans="1:9" x14ac:dyDescent="0.25">
      <c r="A42" s="127"/>
      <c r="B42" s="49" t="s">
        <v>147</v>
      </c>
      <c r="C42" s="73"/>
      <c r="D42" s="283">
        <f t="shared" ref="D42:H42" ca="1" si="17">LN(D41/C41)</f>
        <v>-3.8575368497799918E-2</v>
      </c>
      <c r="E42" s="283">
        <f t="shared" ca="1" si="17"/>
        <v>6.8569637498846585E-3</v>
      </c>
      <c r="F42" s="283">
        <f t="shared" ca="1" si="17"/>
        <v>1.2822130311507722E-2</v>
      </c>
      <c r="G42" s="283">
        <f t="shared" ca="1" si="17"/>
        <v>3.5033922911870352E-2</v>
      </c>
      <c r="H42" s="283">
        <f t="shared" ca="1" si="17"/>
        <v>1.1885779073163892E-2</v>
      </c>
      <c r="I42" s="283">
        <f ca="1">LN(I41/H41)</f>
        <v>8.7861615067957019E-2</v>
      </c>
    </row>
    <row r="43" spans="1:9" ht="14.4" thickBot="1" x14ac:dyDescent="0.3">
      <c r="A43" s="54"/>
      <c r="B43" s="206" t="s">
        <v>148</v>
      </c>
      <c r="C43" s="128"/>
      <c r="D43" s="312">
        <v>-2.7272318807613882E-2</v>
      </c>
      <c r="E43" s="312">
        <v>-2.4673975361478293E-2</v>
      </c>
      <c r="F43" s="312">
        <v>-2.286933744662227E-2</v>
      </c>
      <c r="G43" s="312">
        <v>-2.3167415539959643E-2</v>
      </c>
      <c r="H43" s="312">
        <v>5.1322503238207043E-2</v>
      </c>
      <c r="I43" s="312">
        <v>2.0257709640442684E-2</v>
      </c>
    </row>
    <row r="44" spans="1:9" ht="14.4" thickBot="1" x14ac:dyDescent="0.3">
      <c r="B44" s="9"/>
      <c r="C44" s="71"/>
      <c r="D44" s="71"/>
      <c r="E44" s="71"/>
      <c r="F44" s="71"/>
      <c r="G44" s="71"/>
      <c r="H44" s="71"/>
      <c r="I44" s="205">
        <v>-4.40047237950406E-3</v>
      </c>
    </row>
    <row r="45" spans="1:9" x14ac:dyDescent="0.25">
      <c r="B45" s="75" t="s">
        <v>149</v>
      </c>
      <c r="C45" s="58"/>
      <c r="D45" s="58"/>
      <c r="E45" s="58"/>
      <c r="F45" s="58"/>
      <c r="G45" s="58"/>
      <c r="H45" s="58"/>
      <c r="I45" s="58"/>
    </row>
    <row r="46" spans="1:9" x14ac:dyDescent="0.25">
      <c r="B46" s="14" t="s">
        <v>126</v>
      </c>
      <c r="C46" s="109">
        <f>'Indicii prețurilor'!C43</f>
        <v>1</v>
      </c>
      <c r="D46" s="109">
        <f>'Indicii prețurilor'!D43</f>
        <v>1.0083</v>
      </c>
      <c r="E46" s="109">
        <f>'Indicii prețurilor'!E43</f>
        <v>0.99892280999999994</v>
      </c>
      <c r="F46" s="109">
        <f>'Indicii prețurilor'!F43</f>
        <v>0.99352862682599996</v>
      </c>
      <c r="G46" s="109">
        <f>'Indicii prețurilor'!G43</f>
        <v>1.0265137772366231</v>
      </c>
      <c r="H46" s="109">
        <f>'Indicii prețurilor'!H43</f>
        <v>1.0600807777522605</v>
      </c>
      <c r="I46" s="110">
        <f>'Indicii prețurilor'!I43</f>
        <v>1.102908041173452</v>
      </c>
    </row>
    <row r="47" spans="1:9" x14ac:dyDescent="0.25">
      <c r="B47" s="44" t="s">
        <v>150</v>
      </c>
      <c r="C47" s="94"/>
      <c r="D47" s="74">
        <f>D46/C46-1</f>
        <v>8.2999999999999741E-3</v>
      </c>
      <c r="E47" s="74">
        <f t="shared" ref="E47:H47" si="18">E46/D46-1</f>
        <v>-9.300000000000086E-3</v>
      </c>
      <c r="F47" s="74">
        <f t="shared" si="18"/>
        <v>-5.3999999999999604E-3</v>
      </c>
      <c r="G47" s="74">
        <f t="shared" si="18"/>
        <v>3.3199999999999896E-2</v>
      </c>
      <c r="H47" s="74">
        <f t="shared" si="18"/>
        <v>3.2699999999999951E-2</v>
      </c>
      <c r="I47" s="207">
        <f>I46/H46-1</f>
        <v>4.0400000000000214E-2</v>
      </c>
    </row>
    <row r="48" spans="1:9" x14ac:dyDescent="0.25">
      <c r="B48" s="161" t="s">
        <v>162</v>
      </c>
      <c r="C48" s="95"/>
      <c r="D48" s="76">
        <f t="shared" ref="D48:H48" si="19">D47-$I$28</f>
        <v>3.579912548472639E-3</v>
      </c>
      <c r="E48" s="76">
        <f t="shared" si="19"/>
        <v>-1.402008745152742E-2</v>
      </c>
      <c r="F48" s="76">
        <f t="shared" si="19"/>
        <v>-1.0120087451527295E-2</v>
      </c>
      <c r="G48" s="76">
        <f t="shared" si="19"/>
        <v>2.8479912548472562E-2</v>
      </c>
      <c r="H48" s="76">
        <f t="shared" si="19"/>
        <v>2.7979912548472617E-2</v>
      </c>
      <c r="I48" s="77">
        <f>I47-$I$28</f>
        <v>3.5679912548472879E-2</v>
      </c>
    </row>
    <row r="49" spans="2:9" x14ac:dyDescent="0.25">
      <c r="B49" s="17" t="s">
        <v>151</v>
      </c>
      <c r="C49" s="96"/>
      <c r="D49" s="59">
        <f t="shared" ref="D49:H49" si="20">D47-(D27+D43)</f>
        <v>-5.3046136714438433E-2</v>
      </c>
      <c r="E49" s="59">
        <f t="shared" si="20"/>
        <v>0.11122051321910263</v>
      </c>
      <c r="F49" s="59">
        <f t="shared" si="20"/>
        <v>-4.471744617207795E-3</v>
      </c>
      <c r="G49" s="59">
        <f t="shared" si="20"/>
        <v>1.6367415539959539E-2</v>
      </c>
      <c r="H49" s="59">
        <f t="shared" si="20"/>
        <v>1.371907213093676E-2</v>
      </c>
      <c r="I49" s="72">
        <f>I47-(I27+I43)</f>
        <v>1.4193190009507636E-2</v>
      </c>
    </row>
    <row r="50" spans="2:9" x14ac:dyDescent="0.25">
      <c r="B50" s="162" t="s">
        <v>152</v>
      </c>
      <c r="C50" s="79"/>
      <c r="D50" s="79">
        <f>D47-($I$28+$I$44)</f>
        <v>7.980384927976699E-3</v>
      </c>
      <c r="E50" s="79">
        <f t="shared" ref="E50:G50" si="21">E47-($I$28+$I$44)</f>
        <v>-9.619615072023361E-3</v>
      </c>
      <c r="F50" s="79">
        <f t="shared" si="21"/>
        <v>-5.7196150720232354E-3</v>
      </c>
      <c r="G50" s="79">
        <f t="shared" si="21"/>
        <v>3.2880384927976625E-2</v>
      </c>
      <c r="H50" s="79">
        <f>H47-($I$28+$I$44)</f>
        <v>3.238038492797668E-2</v>
      </c>
      <c r="I50" s="208">
        <f>I47-($I$28+$I$44)</f>
        <v>4.0080384927976942E-2</v>
      </c>
    </row>
    <row r="51" spans="2:9" x14ac:dyDescent="0.25">
      <c r="B51" s="55"/>
      <c r="C51" s="64"/>
      <c r="D51" s="64"/>
      <c r="E51" s="64"/>
      <c r="F51" s="64"/>
      <c r="G51" s="64"/>
      <c r="H51" s="64"/>
      <c r="I51" s="64"/>
    </row>
    <row r="52" spans="2:9" x14ac:dyDescent="0.25">
      <c r="B52" s="202"/>
      <c r="C52" s="6"/>
      <c r="D52" s="6"/>
      <c r="E52" s="6"/>
      <c r="F52" s="6"/>
      <c r="G52" s="6"/>
      <c r="H52" s="6"/>
      <c r="I52" s="30"/>
    </row>
    <row r="53" spans="2:9" x14ac:dyDescent="0.25">
      <c r="B53" s="203"/>
      <c r="C53" s="66"/>
      <c r="D53" s="7"/>
      <c r="E53" s="7"/>
      <c r="F53" s="7"/>
      <c r="G53" s="66"/>
      <c r="H53" s="7"/>
      <c r="I53" s="65"/>
    </row>
    <row r="55" spans="2:9" ht="13.8" thickBot="1" x14ac:dyDescent="0.3"/>
    <row r="56" spans="2:9" ht="27" thickBot="1" x14ac:dyDescent="0.3">
      <c r="B56" s="196" t="s">
        <v>164</v>
      </c>
      <c r="C56" s="165"/>
    </row>
    <row r="57" spans="2:9" x14ac:dyDescent="0.25">
      <c r="B57" s="197" t="s">
        <v>153</v>
      </c>
      <c r="C57" s="261">
        <v>10000</v>
      </c>
      <c r="D57" s="195"/>
      <c r="E57" s="166"/>
    </row>
    <row r="58" spans="2:9" x14ac:dyDescent="0.25">
      <c r="B58" s="197" t="s">
        <v>154</v>
      </c>
      <c r="C58" s="261">
        <v>9300</v>
      </c>
      <c r="D58" s="195"/>
    </row>
    <row r="59" spans="2:9" x14ac:dyDescent="0.25">
      <c r="B59" s="197" t="s">
        <v>161</v>
      </c>
      <c r="C59" s="261">
        <v>1540</v>
      </c>
      <c r="D59" s="195"/>
    </row>
    <row r="60" spans="2:9" x14ac:dyDescent="0.25">
      <c r="B60" s="197" t="s">
        <v>155</v>
      </c>
      <c r="C60" s="262">
        <f>C57/(C58+C59)</f>
        <v>0.92250922509225097</v>
      </c>
    </row>
    <row r="61" spans="2:9" x14ac:dyDescent="0.25">
      <c r="B61" s="197" t="s">
        <v>156</v>
      </c>
      <c r="C61" s="262">
        <f>((C58+C59)/C57)-1</f>
        <v>8.4000000000000075E-2</v>
      </c>
    </row>
    <row r="62" spans="2:9" x14ac:dyDescent="0.25">
      <c r="B62" s="197" t="s">
        <v>157</v>
      </c>
      <c r="C62" s="198">
        <v>1</v>
      </c>
    </row>
    <row r="63" spans="2:9" x14ac:dyDescent="0.25">
      <c r="B63" s="197" t="s">
        <v>158</v>
      </c>
      <c r="C63" s="199">
        <f>$I$50</f>
        <v>4.0080384927976942E-2</v>
      </c>
    </row>
    <row r="64" spans="2:9" x14ac:dyDescent="0.25">
      <c r="B64" s="200" t="s">
        <v>159</v>
      </c>
      <c r="C64" s="277">
        <f>(1+C61)^(1/C62)-1</f>
        <v>8.4000000000000075E-2</v>
      </c>
    </row>
    <row r="65" spans="2:4" ht="14.4" thickBot="1" x14ac:dyDescent="0.3">
      <c r="B65" s="201" t="s">
        <v>160</v>
      </c>
      <c r="C65" s="278">
        <f>C63+C64</f>
        <v>0.12408038492797702</v>
      </c>
    </row>
    <row r="66" spans="2:4" x14ac:dyDescent="0.25">
      <c r="C66" s="194"/>
    </row>
    <row r="67" spans="2:4" x14ac:dyDescent="0.25">
      <c r="C67" s="179"/>
    </row>
    <row r="70" spans="2:4" x14ac:dyDescent="0.25">
      <c r="D70" s="175"/>
    </row>
  </sheetData>
  <phoneticPr fontId="7" type="noConversion"/>
  <pageMargins left="0.75" right="0.75" top="1" bottom="1" header="0.4921259845" footer="0.4921259845"/>
  <pageSetup paperSize="9" scale="56" orientation="landscape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outputuri-dummy data</vt:lpstr>
      <vt:lpstr>Indicii prețurilor</vt:lpstr>
      <vt:lpstr>Muncă-dummy data</vt:lpstr>
      <vt:lpstr>Materiale-dummy data</vt:lpstr>
      <vt:lpstr>Capital angajat-dummy data</vt:lpstr>
      <vt:lpstr>Costul Capitalului-dummy data</vt:lpstr>
      <vt:lpstr>X&amp;Z Factor-dummy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2021-07-22T09:33:14Z</dcterms:created>
  <dcterms:modified xsi:type="dcterms:W3CDTF">2021-07-22T09:33:30Z</dcterms:modified>
</cp:coreProperties>
</file>